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05 Projekte\33 EU Projekt EnCoDesign\Assessment_Tool_Bewertung\Tool\Angepasstes_Tool\"/>
    </mc:Choice>
  </mc:AlternateContent>
  <xr:revisionPtr revIDLastSave="0" documentId="13_ncr:1_{5BF748FC-59FA-46BD-A748-03656D92FDA3}" xr6:coauthVersionLast="45" xr6:coauthVersionMax="45" xr10:uidLastSave="{00000000-0000-0000-0000-000000000000}"/>
  <bookViews>
    <workbookView xWindow="-120" yWindow="-120" windowWidth="29040" windowHeight="15840" xr2:uid="{40CBD579-D562-492D-895F-0C0F17F0B868}"/>
  </bookViews>
  <sheets>
    <sheet name="Assumptions" sheetId="4" r:id="rId1"/>
    <sheet name="Project Summary" sheetId="5" r:id="rId2"/>
    <sheet name="Criteria description" sheetId="1" r:id="rId3"/>
    <sheet name="Project ratings" sheetId="2" r:id="rId4"/>
    <sheet name="Ratings overview" sheetId="23" r:id="rId5"/>
    <sheet name="Pro Forma" sheetId="6" r:id="rId6"/>
    <sheet name="Calculations Appendix" sheetId="7" r:id="rId7"/>
    <sheet name="Annual kWh Generation" sheetId="11" r:id="rId8"/>
    <sheet name="Annual Revenues" sheetId="12" r:id="rId9"/>
    <sheet name="Electricity Sales Revenue" sheetId="13" r:id="rId10"/>
    <sheet name="Loan Payments" sheetId="14" r:id="rId11"/>
    <sheet name="Annual Expenses" sheetId="15" r:id="rId12"/>
    <sheet name="Total Net Tax Ben. or Liab." sheetId="17" r:id="rId13"/>
    <sheet name="Returns to Investors" sheetId="18" r:id="rId14"/>
    <sheet name="Net After-Tax Cash Flow" sheetId="19" r:id="rId15"/>
    <sheet name="Running IRR" sheetId="20" r:id="rId16"/>
  </sheets>
  <externalReferences>
    <externalReference r:id="rId17"/>
    <externalReference r:id="rId18"/>
    <externalReference r:id="rId19"/>
  </externalReferences>
  <definedNames>
    <definedName name="_ASS2">#REF!</definedName>
    <definedName name="_xlnm._FilterDatabase" localSheetId="0" hidden="1">Assumptions!$I$3:$I$4</definedName>
    <definedName name="AddTax">[1]ASS!#REF!</definedName>
    <definedName name="amort">#REF!</definedName>
    <definedName name="AmorTable1">#REF!</definedName>
    <definedName name="AmortTable2">#REF!</definedName>
    <definedName name="Avail">[1]ASS!$D$10</definedName>
    <definedName name="BasisDate">#REF!</definedName>
    <definedName name="BasisNumber">#REF!</definedName>
    <definedName name="BL">[1]ASS!$O$56</definedName>
    <definedName name="Capacity_Rated">[1]ASS!$D$8</definedName>
    <definedName name="CFMKT">#REF!</definedName>
    <definedName name="CMW">#REF!</definedName>
    <definedName name="Cofins">[1]ASS!#REF!</definedName>
    <definedName name="Cofins_Cr">[1]ASS!#REF!</definedName>
    <definedName name="CopyCFafterENE">[2]MAIN!$D$164:$AQ$164</definedName>
    <definedName name="CopyCFbeforeENE">[2]MAIN!$D$129:$AQ$129</definedName>
    <definedName name="Cost">[1]ASS!$S$52</definedName>
    <definedName name="Cpmf_00">[1]ASS!#REF!</definedName>
    <definedName name="Cpmf_99">[1]ASS!#REF!</definedName>
    <definedName name="CPREM">#REF!</definedName>
    <definedName name="CSTRIKE">#REF!</definedName>
    <definedName name="CvsAsset">[1]CURVES!$A$9:$AC$35</definedName>
    <definedName name="Debt">[1]ASS!$Y$79</definedName>
    <definedName name="DebtPerc">[1]ASS!$W$79</definedName>
    <definedName name="DebtStartDate">#REF!</definedName>
    <definedName name="DISC">[1]ASS!$W$9</definedName>
    <definedName name="Discount">#REF!</definedName>
    <definedName name="_xlnm.Print_Area" localSheetId="0">Assumptions!$B$1:$N$62</definedName>
    <definedName name="_xlnm.Print_Area" localSheetId="6">'Calculations Appendix'!$A$3:$V$24</definedName>
    <definedName name="_xlnm.Print_Area" localSheetId="5">'Pro Forma'!$A$3:$V$80</definedName>
    <definedName name="_xlnm.Print_Area" localSheetId="1">'Project Summary'!$A$1:$D$31</definedName>
    <definedName name="_xlnm.Print_Titles" localSheetId="5">'Pro Forma'!$A:$A,'Pro Forma'!$3:$3</definedName>
    <definedName name="Eff_TX">#REF!</definedName>
    <definedName name="ENAReserve">#REF!</definedName>
    <definedName name="EndYear">[1]ASS!$E$25</definedName>
    <definedName name="ENronCoinsClaimed">#REF!</definedName>
    <definedName name="EnronCoinsLimit">#REF!</definedName>
    <definedName name="EnronCoinsuranceLimit">#REF!</definedName>
    <definedName name="EnronReDefaultMonth">[2]MAIN!$J$1</definedName>
    <definedName name="Equity">[1]ASS!$Y$80</definedName>
    <definedName name="EquityPerc">[1]ASS!$W$80</definedName>
    <definedName name="Esc_Ind">[1]ASS!$L$67</definedName>
    <definedName name="Escalation_Table">[1]ASS!$AK$8:$AL$13</definedName>
    <definedName name="Est_Cpfm">[1]ASS!#REF!</definedName>
    <definedName name="Est_Dev">[1]ASS!$AF$15</definedName>
    <definedName name="ExpirationDatesTable">#REF!</definedName>
    <definedName name="FinTable1">#REF!</definedName>
    <definedName name="FinTable2">#REF!</definedName>
    <definedName name="FinTable3">#REF!</definedName>
    <definedName name="FinTable4">#REF!</definedName>
    <definedName name="FinTable5">#REF!</definedName>
    <definedName name="FinTableAlbany">#REF!</definedName>
    <definedName name="FinTableBrowns">[2]IS!#REF!</definedName>
    <definedName name="FinTableCaledonia">#REF!</definedName>
    <definedName name="FinTableGleason">#REF!</definedName>
    <definedName name="FinTableLincoln">#REF!</definedName>
    <definedName name="FinTableWheatland">#REF!</definedName>
    <definedName name="HOURSPERDAY">#REF!</definedName>
    <definedName name="Hr_Fin">[1]ASS!#REF!</definedName>
    <definedName name="Hr_Ops">[1]ASS!#REF!</definedName>
    <definedName name="IDC_TABLE">[1]IDC!$D$6:$Y$45</definedName>
    <definedName name="Land">[1]ASS!$S$40</definedName>
    <definedName name="LandLease_Percent">[1]ASS!$J$27</definedName>
    <definedName name="limcount" hidden="1">1</definedName>
    <definedName name="LossAmount">#REF!</definedName>
    <definedName name="Month_day">'[3]Tables '!$A$2:$C$28</definedName>
    <definedName name="Net_Revs">#REF!</definedName>
    <definedName name="NPREM">#REF!</definedName>
    <definedName name="Period">#REF!</definedName>
    <definedName name="PMW">#REF!</definedName>
    <definedName name="PPREM">#REF!</definedName>
    <definedName name="ProjectIRR">#REF!</definedName>
    <definedName name="ProjectNPV">#REF!</definedName>
    <definedName name="ProjectNPV1">#REF!</definedName>
    <definedName name="PSTRIKE">#REF!</definedName>
    <definedName name="StartConst">[1]ASS!$D$18</definedName>
    <definedName name="StartDateCOD">[1]ASS!$D$20</definedName>
    <definedName name="Tariff_1">[1]ASS!$C$35</definedName>
    <definedName name="Tariff_2">[1]ASS!$C$36</definedName>
    <definedName name="Term">[1]ASS!$E$26</definedName>
    <definedName name="Term_1">[1]ASS!$E$21</definedName>
    <definedName name="Term_2">[1]ASS!$E$24</definedName>
    <definedName name="Term_C">[1]ASS!$E$19</definedName>
    <definedName name="Tv">[1]ASS!$L$63</definedName>
    <definedName name="USTax">[1]ASS!$J$36</definedName>
    <definedName name="Wcap">[1]ASS!$S$45</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t_Div">[1]ASS!$J$14</definedName>
    <definedName name="zzz"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6" l="1"/>
  <c r="E18" i="6"/>
  <c r="F18" i="6"/>
  <c r="G18" i="6"/>
  <c r="H18" i="6"/>
  <c r="I18" i="6"/>
  <c r="J18" i="6"/>
  <c r="K18" i="6"/>
  <c r="L18" i="6"/>
  <c r="M18" i="6"/>
  <c r="N18" i="6"/>
  <c r="O18" i="6"/>
  <c r="P18" i="6"/>
  <c r="Q18" i="6"/>
  <c r="R18" i="6"/>
  <c r="S18" i="6"/>
  <c r="T18" i="6"/>
  <c r="U18" i="6"/>
  <c r="V18" i="6"/>
  <c r="W18" i="6"/>
  <c r="X18" i="6"/>
  <c r="Y18" i="6"/>
  <c r="Z18" i="6"/>
  <c r="AA18" i="6"/>
  <c r="C18" i="6"/>
  <c r="D16" i="6"/>
  <c r="E16" i="6"/>
  <c r="F16" i="6"/>
  <c r="G16" i="6"/>
  <c r="H16" i="6"/>
  <c r="I16" i="6"/>
  <c r="J16" i="6"/>
  <c r="K16" i="6"/>
  <c r="L16" i="6"/>
  <c r="M16" i="6"/>
  <c r="N16" i="6"/>
  <c r="O16" i="6"/>
  <c r="P16" i="6"/>
  <c r="Q16" i="6"/>
  <c r="R16" i="6"/>
  <c r="S16" i="6"/>
  <c r="T16" i="6"/>
  <c r="U16" i="6"/>
  <c r="V16" i="6"/>
  <c r="W16" i="6"/>
  <c r="X16" i="6"/>
  <c r="Y16" i="6"/>
  <c r="Z16" i="6"/>
  <c r="AA16" i="6"/>
  <c r="C16" i="6"/>
  <c r="E14" i="6"/>
  <c r="F14" i="6"/>
  <c r="G14" i="6"/>
  <c r="H14" i="6"/>
  <c r="I14" i="6"/>
  <c r="J14" i="6"/>
  <c r="K14" i="6"/>
  <c r="L14" i="6"/>
  <c r="M14" i="6"/>
  <c r="N14" i="6"/>
  <c r="O14" i="6"/>
  <c r="P14" i="6"/>
  <c r="Q14" i="6"/>
  <c r="R14" i="6"/>
  <c r="S14" i="6"/>
  <c r="T14" i="6"/>
  <c r="U14" i="6"/>
  <c r="V14" i="6"/>
  <c r="W14" i="6"/>
  <c r="X14" i="6"/>
  <c r="Y14" i="6"/>
  <c r="Z14" i="6"/>
  <c r="AA14" i="6"/>
  <c r="D14" i="6"/>
  <c r="C14" i="6"/>
  <c r="E1" i="6"/>
  <c r="F1" i="6"/>
  <c r="G1" i="6" s="1"/>
  <c r="H1" i="6" s="1"/>
  <c r="I1" i="6" s="1"/>
  <c r="J1" i="6" s="1"/>
  <c r="D1" i="6"/>
  <c r="A18" i="6" l="1"/>
  <c r="AA12" i="6" l="1"/>
  <c r="Z12" i="6"/>
  <c r="A14" i="6"/>
  <c r="C14" i="4"/>
  <c r="I12" i="6" l="1"/>
  <c r="I13" i="6" s="1"/>
  <c r="D12" i="6"/>
  <c r="H12" i="6"/>
  <c r="H13" i="6" s="1"/>
  <c r="H17" i="6" s="1"/>
  <c r="N12" i="6"/>
  <c r="N13" i="6" s="1"/>
  <c r="N19" i="6" s="1"/>
  <c r="U12" i="6"/>
  <c r="U13" i="6" s="1"/>
  <c r="U19" i="6" s="1"/>
  <c r="P12" i="6"/>
  <c r="P13" i="6" s="1"/>
  <c r="P19" i="6" s="1"/>
  <c r="O12" i="6"/>
  <c r="O13" i="6" s="1"/>
  <c r="O19" i="6" s="1"/>
  <c r="D13" i="6"/>
  <c r="D19" i="6" s="1"/>
  <c r="W12" i="6"/>
  <c r="W13" i="6" s="1"/>
  <c r="W17" i="6" s="1"/>
  <c r="G12" i="6"/>
  <c r="G13" i="6" s="1"/>
  <c r="G17" i="6" s="1"/>
  <c r="Z13" i="6"/>
  <c r="Z17" i="6" s="1"/>
  <c r="C12" i="6"/>
  <c r="C13" i="6" s="1"/>
  <c r="C19" i="6" s="1"/>
  <c r="Y12" i="6"/>
  <c r="Y13" i="6" s="1"/>
  <c r="Y17" i="6" s="1"/>
  <c r="V12" i="6"/>
  <c r="V13" i="6" s="1"/>
  <c r="V19" i="6" s="1"/>
  <c r="F12" i="6"/>
  <c r="F13" i="6" s="1"/>
  <c r="F19" i="6" s="1"/>
  <c r="AA13" i="6"/>
  <c r="AA17" i="6" s="1"/>
  <c r="K12" i="6"/>
  <c r="K13" i="6" s="1"/>
  <c r="K17" i="6" s="1"/>
  <c r="R12" i="6"/>
  <c r="R13" i="6" s="1"/>
  <c r="R17" i="6" s="1"/>
  <c r="J12" i="6"/>
  <c r="J13" i="6" s="1"/>
  <c r="J17" i="6" s="1"/>
  <c r="X12" i="6"/>
  <c r="X13" i="6" s="1"/>
  <c r="X17" i="6" s="1"/>
  <c r="M12" i="6"/>
  <c r="M13" i="6" s="1"/>
  <c r="M19" i="6" s="1"/>
  <c r="E12" i="6"/>
  <c r="E13" i="6" s="1"/>
  <c r="E19" i="6" s="1"/>
  <c r="T12" i="6"/>
  <c r="T13" i="6" s="1"/>
  <c r="T19" i="6" s="1"/>
  <c r="L12" i="6"/>
  <c r="L13" i="6" s="1"/>
  <c r="L19" i="6" s="1"/>
  <c r="S12" i="6"/>
  <c r="S13" i="6" s="1"/>
  <c r="S17" i="6" s="1"/>
  <c r="Q12" i="6"/>
  <c r="Q13" i="6" s="1"/>
  <c r="Q17" i="6" s="1"/>
  <c r="H19" i="6"/>
  <c r="I17" i="6"/>
  <c r="I19" i="6"/>
  <c r="N17" i="6" l="1"/>
  <c r="F17" i="6"/>
  <c r="P17" i="6"/>
  <c r="C15" i="6"/>
  <c r="Y19" i="6"/>
  <c r="T17" i="6"/>
  <c r="E17" i="6"/>
  <c r="M17" i="6"/>
  <c r="V17" i="6"/>
  <c r="U17" i="6"/>
  <c r="W19" i="6"/>
  <c r="K19" i="6"/>
  <c r="R19" i="6"/>
  <c r="G19" i="6"/>
  <c r="S19" i="6"/>
  <c r="O17" i="6"/>
  <c r="D17" i="6"/>
  <c r="J19" i="6"/>
  <c r="Z19" i="6"/>
  <c r="X19" i="6"/>
  <c r="C17" i="6"/>
  <c r="Q19" i="6"/>
  <c r="AA19" i="6"/>
  <c r="L17" i="6"/>
  <c r="G4" i="2" l="1"/>
  <c r="F4" i="2"/>
  <c r="E4" i="2"/>
  <c r="D4" i="2"/>
  <c r="C4" i="2"/>
  <c r="B4" i="2"/>
  <c r="J54" i="4"/>
  <c r="C31" i="5" s="1"/>
  <c r="B8" i="7"/>
  <c r="B7" i="7"/>
  <c r="C19" i="5"/>
  <c r="AA53" i="6"/>
  <c r="AA41" i="6"/>
  <c r="AA76" i="6" s="1"/>
  <c r="AA35" i="6"/>
  <c r="AA34" i="6"/>
  <c r="AA33" i="6"/>
  <c r="AA32" i="6"/>
  <c r="AA30" i="6"/>
  <c r="AA29" i="6"/>
  <c r="AA28" i="6"/>
  <c r="AA27" i="6"/>
  <c r="AA26" i="6"/>
  <c r="AA25" i="6"/>
  <c r="Z53" i="6"/>
  <c r="Z41" i="6"/>
  <c r="Z76" i="6" s="1"/>
  <c r="Z35" i="6"/>
  <c r="Z34" i="6"/>
  <c r="Z33" i="6"/>
  <c r="Z32" i="6"/>
  <c r="Z30" i="6"/>
  <c r="Z29" i="6"/>
  <c r="Z28" i="6"/>
  <c r="Z27" i="6"/>
  <c r="Z26" i="6"/>
  <c r="Z25" i="6"/>
  <c r="Y53" i="6"/>
  <c r="Y41" i="6"/>
  <c r="Y76" i="6" s="1"/>
  <c r="Y35" i="6"/>
  <c r="Y34" i="6"/>
  <c r="Y33" i="6"/>
  <c r="Y32" i="6"/>
  <c r="Y30" i="6"/>
  <c r="Y29" i="6"/>
  <c r="Y28" i="6"/>
  <c r="Y27" i="6"/>
  <c r="Y26" i="6"/>
  <c r="Y25" i="6"/>
  <c r="X53" i="6"/>
  <c r="X41" i="6"/>
  <c r="X76" i="6" s="1"/>
  <c r="X35" i="6"/>
  <c r="X34" i="6"/>
  <c r="X33" i="6"/>
  <c r="X32" i="6"/>
  <c r="X30" i="6"/>
  <c r="X29" i="6"/>
  <c r="X28" i="6"/>
  <c r="X27" i="6"/>
  <c r="X26" i="6"/>
  <c r="X25" i="6"/>
  <c r="W53" i="6"/>
  <c r="W41" i="6"/>
  <c r="W76" i="6" s="1"/>
  <c r="W35" i="6"/>
  <c r="W34" i="6"/>
  <c r="W33" i="6"/>
  <c r="W32" i="6"/>
  <c r="W30" i="6"/>
  <c r="W29" i="6"/>
  <c r="W28" i="6"/>
  <c r="W27" i="6"/>
  <c r="W26" i="6"/>
  <c r="W25" i="6"/>
  <c r="C26" i="6"/>
  <c r="C25" i="6"/>
  <c r="C80" i="6" s="1"/>
  <c r="X24" i="6"/>
  <c r="C40" i="4"/>
  <c r="C45" i="4" s="1"/>
  <c r="A3" i="6"/>
  <c r="B9" i="6"/>
  <c r="B44" i="6" s="1"/>
  <c r="B55" i="6" s="1"/>
  <c r="E25" i="6"/>
  <c r="F25" i="6"/>
  <c r="G25" i="6"/>
  <c r="H25" i="6"/>
  <c r="I25" i="6"/>
  <c r="J25" i="6"/>
  <c r="K25" i="6"/>
  <c r="L25" i="6"/>
  <c r="M25" i="6"/>
  <c r="N25" i="6"/>
  <c r="O25" i="6"/>
  <c r="P25" i="6"/>
  <c r="Q25" i="6"/>
  <c r="R25" i="6"/>
  <c r="S25" i="6"/>
  <c r="T25" i="6"/>
  <c r="U25" i="6"/>
  <c r="V25" i="6"/>
  <c r="D26" i="6"/>
  <c r="H26" i="6"/>
  <c r="I26" i="6"/>
  <c r="J26" i="6"/>
  <c r="K26" i="6"/>
  <c r="L26" i="6"/>
  <c r="M26" i="6"/>
  <c r="N26" i="6"/>
  <c r="O26" i="6"/>
  <c r="P26" i="6"/>
  <c r="Q26" i="6"/>
  <c r="R26" i="6"/>
  <c r="S26" i="6"/>
  <c r="T26" i="6"/>
  <c r="U26" i="6"/>
  <c r="V26" i="6"/>
  <c r="C27" i="6"/>
  <c r="D27" i="6"/>
  <c r="E27" i="6"/>
  <c r="F27" i="6"/>
  <c r="G27" i="6"/>
  <c r="H27" i="6"/>
  <c r="I27" i="6"/>
  <c r="J27" i="6"/>
  <c r="K27" i="6"/>
  <c r="L27" i="6"/>
  <c r="M27" i="6"/>
  <c r="N27" i="6"/>
  <c r="O27" i="6"/>
  <c r="P27" i="6"/>
  <c r="Q27" i="6"/>
  <c r="R27" i="6"/>
  <c r="S27" i="6"/>
  <c r="T27" i="6"/>
  <c r="U27" i="6"/>
  <c r="V27" i="6"/>
  <c r="C28" i="6"/>
  <c r="D28" i="6"/>
  <c r="E28" i="6"/>
  <c r="F28" i="6"/>
  <c r="G28" i="6"/>
  <c r="H28" i="6"/>
  <c r="I28" i="6"/>
  <c r="J28" i="6"/>
  <c r="K28" i="6"/>
  <c r="L28" i="6"/>
  <c r="M28" i="6"/>
  <c r="N28" i="6"/>
  <c r="O28" i="6"/>
  <c r="P28" i="6"/>
  <c r="Q28" i="6"/>
  <c r="R28" i="6"/>
  <c r="S28" i="6"/>
  <c r="T28" i="6"/>
  <c r="U28" i="6"/>
  <c r="V28" i="6"/>
  <c r="C29" i="6"/>
  <c r="D29" i="6"/>
  <c r="E29" i="6"/>
  <c r="F29" i="6"/>
  <c r="G29" i="6"/>
  <c r="H29" i="6"/>
  <c r="I29" i="6"/>
  <c r="J29" i="6"/>
  <c r="K29" i="6"/>
  <c r="L29" i="6"/>
  <c r="M29" i="6"/>
  <c r="N29" i="6"/>
  <c r="O29" i="6"/>
  <c r="P29" i="6"/>
  <c r="Q29" i="6"/>
  <c r="R29" i="6"/>
  <c r="S29" i="6"/>
  <c r="T29" i="6"/>
  <c r="U29" i="6"/>
  <c r="V29" i="6"/>
  <c r="C30" i="6"/>
  <c r="D30" i="6"/>
  <c r="E30" i="6"/>
  <c r="F30" i="6"/>
  <c r="G30" i="6"/>
  <c r="H30" i="6"/>
  <c r="I30" i="6"/>
  <c r="J30" i="6"/>
  <c r="K30" i="6"/>
  <c r="L30" i="6"/>
  <c r="M30" i="6"/>
  <c r="N30" i="6"/>
  <c r="O30" i="6"/>
  <c r="P30" i="6"/>
  <c r="Q30" i="6"/>
  <c r="R30" i="6"/>
  <c r="S30" i="6"/>
  <c r="T30" i="6"/>
  <c r="U30" i="6"/>
  <c r="V30" i="6"/>
  <c r="C32" i="6"/>
  <c r="D32" i="6"/>
  <c r="E32" i="6"/>
  <c r="F32" i="6"/>
  <c r="G32" i="6"/>
  <c r="H32" i="6"/>
  <c r="I32" i="6"/>
  <c r="J32" i="6"/>
  <c r="K32" i="6"/>
  <c r="L32" i="6"/>
  <c r="M32" i="6"/>
  <c r="N32" i="6"/>
  <c r="O32" i="6"/>
  <c r="P32" i="6"/>
  <c r="Q32" i="6"/>
  <c r="R32" i="6"/>
  <c r="S32" i="6"/>
  <c r="T32" i="6"/>
  <c r="U32" i="6"/>
  <c r="V32" i="6"/>
  <c r="C33" i="6"/>
  <c r="D33" i="6"/>
  <c r="E33" i="6"/>
  <c r="F33" i="6"/>
  <c r="G33" i="6"/>
  <c r="H33" i="6"/>
  <c r="I33" i="6"/>
  <c r="J33" i="6"/>
  <c r="K33" i="6"/>
  <c r="L33" i="6"/>
  <c r="M33" i="6"/>
  <c r="N33" i="6"/>
  <c r="O33" i="6"/>
  <c r="P33" i="6"/>
  <c r="Q33" i="6"/>
  <c r="R33" i="6"/>
  <c r="S33" i="6"/>
  <c r="T33" i="6"/>
  <c r="U33" i="6"/>
  <c r="V33" i="6"/>
  <c r="C34" i="6"/>
  <c r="D34" i="6"/>
  <c r="E34" i="6"/>
  <c r="F34" i="6"/>
  <c r="G34" i="6"/>
  <c r="H34" i="6"/>
  <c r="I34" i="6"/>
  <c r="J34" i="6"/>
  <c r="K34" i="6"/>
  <c r="L34" i="6"/>
  <c r="M34" i="6"/>
  <c r="N34" i="6"/>
  <c r="O34" i="6"/>
  <c r="P34" i="6"/>
  <c r="Q34" i="6"/>
  <c r="R34" i="6"/>
  <c r="S34" i="6"/>
  <c r="T34" i="6"/>
  <c r="U34" i="6"/>
  <c r="V34" i="6"/>
  <c r="C35" i="6"/>
  <c r="D35" i="6"/>
  <c r="E35" i="6"/>
  <c r="F35" i="6"/>
  <c r="G35" i="6"/>
  <c r="H35" i="6"/>
  <c r="I35" i="6"/>
  <c r="J35" i="6"/>
  <c r="K35" i="6"/>
  <c r="L35" i="6"/>
  <c r="M35" i="6"/>
  <c r="N35" i="6"/>
  <c r="O35" i="6"/>
  <c r="P35" i="6"/>
  <c r="Q35" i="6"/>
  <c r="R35" i="6"/>
  <c r="S35" i="6"/>
  <c r="T35" i="6"/>
  <c r="U35" i="6"/>
  <c r="V35" i="6"/>
  <c r="B57" i="6"/>
  <c r="B58" i="6"/>
  <c r="B71" i="6"/>
  <c r="C4" i="5"/>
  <c r="A4" i="2" s="1"/>
  <c r="C6" i="5"/>
  <c r="C9" i="5"/>
  <c r="C10" i="5"/>
  <c r="C11" i="5"/>
  <c r="C13" i="5"/>
  <c r="H4" i="2" s="1"/>
  <c r="C15" i="5"/>
  <c r="C20" i="5"/>
  <c r="D24" i="5"/>
  <c r="C5" i="5"/>
  <c r="E31" i="4"/>
  <c r="F31" i="4"/>
  <c r="F32" i="4"/>
  <c r="E33" i="4"/>
  <c r="F34" i="4"/>
  <c r="E35" i="4"/>
  <c r="F48" i="4"/>
  <c r="C53" i="4"/>
  <c r="J45" i="4"/>
  <c r="C61" i="4"/>
  <c r="D15" i="6" l="1"/>
  <c r="F26" i="6"/>
  <c r="E26" i="6"/>
  <c r="F24" i="6"/>
  <c r="Z11" i="7"/>
  <c r="AA40" i="6" s="1"/>
  <c r="AA52" i="6" s="1"/>
  <c r="R11" i="7"/>
  <c r="S40" i="6" s="1"/>
  <c r="S52" i="6" s="1"/>
  <c r="W11" i="7"/>
  <c r="X40" i="6" s="1"/>
  <c r="X52" i="6" s="1"/>
  <c r="X11" i="7"/>
  <c r="Y40" i="6" s="1"/>
  <c r="Y52" i="6" s="1"/>
  <c r="Y11" i="7"/>
  <c r="Z40" i="6" s="1"/>
  <c r="Z52" i="6" s="1"/>
  <c r="V11" i="7"/>
  <c r="W40" i="6" s="1"/>
  <c r="W52" i="6" s="1"/>
  <c r="U11" i="7"/>
  <c r="V40" i="6" s="1"/>
  <c r="V52" i="6" s="1"/>
  <c r="V24" i="6"/>
  <c r="R24" i="6"/>
  <c r="N24" i="6"/>
  <c r="J24" i="6"/>
  <c r="W24" i="6"/>
  <c r="AA24" i="6"/>
  <c r="U24" i="6"/>
  <c r="M24" i="6"/>
  <c r="Z24" i="6"/>
  <c r="D25" i="6"/>
  <c r="D80" i="6" s="1"/>
  <c r="E80" i="6" s="1"/>
  <c r="F80" i="6" s="1"/>
  <c r="G80" i="6" s="1"/>
  <c r="H80" i="6" s="1"/>
  <c r="I80" i="6" s="1"/>
  <c r="J80" i="6" s="1"/>
  <c r="K80" i="6" s="1"/>
  <c r="L80" i="6" s="1"/>
  <c r="M80" i="6" s="1"/>
  <c r="N80" i="6" s="1"/>
  <c r="O80" i="6" s="1"/>
  <c r="P80" i="6" s="1"/>
  <c r="Q80" i="6" s="1"/>
  <c r="R80" i="6" s="1"/>
  <c r="S80" i="6" s="1"/>
  <c r="T80" i="6" s="1"/>
  <c r="U80" i="6" s="1"/>
  <c r="V80" i="6" s="1"/>
  <c r="W80" i="6" s="1"/>
  <c r="X80" i="6" s="1"/>
  <c r="Y80" i="6" s="1"/>
  <c r="Z80" i="6" s="1"/>
  <c r="AA80" i="6" s="1"/>
  <c r="T24" i="6"/>
  <c r="P24" i="6"/>
  <c r="L24" i="6"/>
  <c r="H24" i="6"/>
  <c r="D24" i="6"/>
  <c r="Y24" i="6"/>
  <c r="Q24" i="6"/>
  <c r="I24" i="6"/>
  <c r="E24" i="6"/>
  <c r="G26" i="6"/>
  <c r="S24" i="6"/>
  <c r="O24" i="6"/>
  <c r="K24" i="6"/>
  <c r="G24" i="6"/>
  <c r="C24" i="6"/>
  <c r="Q11" i="7"/>
  <c r="R40" i="6" s="1"/>
  <c r="R52" i="6" s="1"/>
  <c r="C79" i="6"/>
  <c r="D79" i="6" s="1"/>
  <c r="E79" i="6" s="1"/>
  <c r="F79" i="6" s="1"/>
  <c r="G79" i="6" s="1"/>
  <c r="H79" i="6" s="1"/>
  <c r="I79" i="6" s="1"/>
  <c r="J79" i="6" s="1"/>
  <c r="K79" i="6" s="1"/>
  <c r="L79" i="6" s="1"/>
  <c r="M79" i="6" s="1"/>
  <c r="N79" i="6" s="1"/>
  <c r="O79" i="6" s="1"/>
  <c r="P79" i="6" s="1"/>
  <c r="Q79" i="6" s="1"/>
  <c r="R79" i="6" s="1"/>
  <c r="S79" i="6" s="1"/>
  <c r="T79" i="6" s="1"/>
  <c r="U79" i="6" s="1"/>
  <c r="V79" i="6" s="1"/>
  <c r="W79" i="6" s="1"/>
  <c r="X79" i="6" s="1"/>
  <c r="Y79" i="6" s="1"/>
  <c r="Z79" i="6" s="1"/>
  <c r="AA79" i="6" s="1"/>
  <c r="S11" i="7"/>
  <c r="T40" i="6" s="1"/>
  <c r="T52" i="6" s="1"/>
  <c r="J34" i="4"/>
  <c r="J35" i="4" s="1"/>
  <c r="B20" i="7"/>
  <c r="B21" i="7" s="1"/>
  <c r="C41" i="6" s="1"/>
  <c r="C48" i="4"/>
  <c r="D11" i="7"/>
  <c r="E40" i="6" s="1"/>
  <c r="E52" i="6" s="1"/>
  <c r="B63" i="6"/>
  <c r="C26" i="5" s="1"/>
  <c r="P21" i="7"/>
  <c r="Q41" i="6" s="1"/>
  <c r="Q76" i="6" s="1"/>
  <c r="T21" i="7"/>
  <c r="U41" i="6" s="1"/>
  <c r="U76" i="6" s="1"/>
  <c r="P22" i="7"/>
  <c r="Q53" i="6" s="1"/>
  <c r="T22" i="7"/>
  <c r="U53" i="6" s="1"/>
  <c r="Q21" i="7"/>
  <c r="R41" i="6" s="1"/>
  <c r="R76" i="6" s="1"/>
  <c r="U21" i="7"/>
  <c r="V41" i="6" s="1"/>
  <c r="V76" i="6" s="1"/>
  <c r="S21" i="7"/>
  <c r="T41" i="6" s="1"/>
  <c r="T76" i="6" s="1"/>
  <c r="Q22" i="7"/>
  <c r="R53" i="6" s="1"/>
  <c r="R22" i="7"/>
  <c r="S53" i="6" s="1"/>
  <c r="S22" i="7"/>
  <c r="T53" i="6" s="1"/>
  <c r="R21" i="7"/>
  <c r="S41" i="6" s="1"/>
  <c r="S76" i="6" s="1"/>
  <c r="U22" i="7"/>
  <c r="V53" i="6" s="1"/>
  <c r="T11" i="7"/>
  <c r="U40" i="6" s="1"/>
  <c r="U52" i="6" s="1"/>
  <c r="P11" i="7"/>
  <c r="Q40" i="6" s="1"/>
  <c r="Q52" i="6" s="1"/>
  <c r="E15" i="6" l="1"/>
  <c r="M20" i="6"/>
  <c r="P20" i="6"/>
  <c r="N20" i="6"/>
  <c r="O20" i="6"/>
  <c r="S20" i="6"/>
  <c r="V20" i="6"/>
  <c r="U20" i="6"/>
  <c r="R20" i="6"/>
  <c r="T20" i="6"/>
  <c r="Q20" i="6"/>
  <c r="AA31" i="6"/>
  <c r="AA36" i="6" s="1"/>
  <c r="AA42" i="6" s="1"/>
  <c r="AA20" i="6"/>
  <c r="W31" i="6"/>
  <c r="W36" i="6" s="1"/>
  <c r="W20" i="6"/>
  <c r="Z31" i="6"/>
  <c r="Z36" i="6" s="1"/>
  <c r="Z42" i="6" s="1"/>
  <c r="Z20" i="6"/>
  <c r="Y31" i="6"/>
  <c r="Y36" i="6" s="1"/>
  <c r="Y42" i="6" s="1"/>
  <c r="Y20" i="6"/>
  <c r="X31" i="6"/>
  <c r="X36" i="6" s="1"/>
  <c r="X42" i="6" s="1"/>
  <c r="X20" i="6"/>
  <c r="L11" i="7"/>
  <c r="M40" i="6" s="1"/>
  <c r="M52" i="6" s="1"/>
  <c r="H11" i="7"/>
  <c r="I40" i="6" s="1"/>
  <c r="I52" i="6" s="1"/>
  <c r="O31" i="6"/>
  <c r="O36" i="6" s="1"/>
  <c r="F20" i="6"/>
  <c r="F31" i="6"/>
  <c r="F36" i="6" s="1"/>
  <c r="M31" i="6"/>
  <c r="M36" i="6" s="1"/>
  <c r="Q31" i="6"/>
  <c r="Q36" i="6" s="1"/>
  <c r="Q42" i="6" s="1"/>
  <c r="G20" i="6"/>
  <c r="G31" i="6"/>
  <c r="G36" i="6" s="1"/>
  <c r="N31" i="6"/>
  <c r="N36" i="6" s="1"/>
  <c r="P31" i="6"/>
  <c r="P36" i="6" s="1"/>
  <c r="I20" i="6"/>
  <c r="I31" i="6"/>
  <c r="I36" i="6" s="1"/>
  <c r="S31" i="6"/>
  <c r="S36" i="6" s="1"/>
  <c r="S42" i="6" s="1"/>
  <c r="C31" i="6"/>
  <c r="C36" i="6" s="1"/>
  <c r="C20" i="6"/>
  <c r="C21" i="6" s="1"/>
  <c r="C8" i="5"/>
  <c r="C7" i="5" s="1"/>
  <c r="J20" i="6"/>
  <c r="J31" i="6"/>
  <c r="J36" i="6" s="1"/>
  <c r="L20" i="6"/>
  <c r="L31" i="6"/>
  <c r="L36" i="6" s="1"/>
  <c r="U31" i="6"/>
  <c r="U36" i="6" s="1"/>
  <c r="U42" i="6" s="1"/>
  <c r="V31" i="6"/>
  <c r="V36" i="6" s="1"/>
  <c r="V42" i="6" s="1"/>
  <c r="H20" i="6"/>
  <c r="H31" i="6"/>
  <c r="H36" i="6" s="1"/>
  <c r="B22" i="7"/>
  <c r="C53" i="6" s="1"/>
  <c r="E20" i="6"/>
  <c r="E31" i="6"/>
  <c r="E36" i="6" s="1"/>
  <c r="K31" i="6"/>
  <c r="K36" i="6" s="1"/>
  <c r="K20" i="6"/>
  <c r="R31" i="6"/>
  <c r="R36" i="6" s="1"/>
  <c r="R42" i="6" s="1"/>
  <c r="T31" i="6"/>
  <c r="T36" i="6" s="1"/>
  <c r="T42" i="6" s="1"/>
  <c r="D20" i="6"/>
  <c r="D21" i="6" s="1"/>
  <c r="D31" i="6"/>
  <c r="D36" i="6" s="1"/>
  <c r="E11" i="7"/>
  <c r="F40" i="6" s="1"/>
  <c r="F52" i="6" s="1"/>
  <c r="I11" i="7"/>
  <c r="J40" i="6" s="1"/>
  <c r="J52" i="6" s="1"/>
  <c r="M11" i="7"/>
  <c r="N40" i="6" s="1"/>
  <c r="N52" i="6" s="1"/>
  <c r="B10" i="7"/>
  <c r="B11" i="7"/>
  <c r="F11" i="7"/>
  <c r="G40" i="6" s="1"/>
  <c r="G52" i="6" s="1"/>
  <c r="J11" i="7"/>
  <c r="K40" i="6" s="1"/>
  <c r="K52" i="6" s="1"/>
  <c r="N11" i="7"/>
  <c r="O40" i="6" s="1"/>
  <c r="O52" i="6" s="1"/>
  <c r="C11" i="7"/>
  <c r="G11" i="7"/>
  <c r="H40" i="6" s="1"/>
  <c r="H52" i="6" s="1"/>
  <c r="K11" i="7"/>
  <c r="L40" i="6" s="1"/>
  <c r="L52" i="6" s="1"/>
  <c r="O11" i="7"/>
  <c r="P40" i="6" s="1"/>
  <c r="P52" i="6" s="1"/>
  <c r="E21" i="6" l="1"/>
  <c r="F15" i="6"/>
  <c r="F21" i="6" s="1"/>
  <c r="W42" i="6"/>
  <c r="D39" i="6"/>
  <c r="D40" i="6"/>
  <c r="D52" i="6" s="1"/>
  <c r="C40" i="6"/>
  <c r="C42" i="6" s="1"/>
  <c r="B23" i="7"/>
  <c r="C20" i="7" s="1"/>
  <c r="C21" i="7" s="1"/>
  <c r="B12" i="7"/>
  <c r="C10" i="7" s="1"/>
  <c r="C12" i="7" s="1"/>
  <c r="D10" i="7" s="1"/>
  <c r="D12" i="7" s="1"/>
  <c r="E10" i="7" s="1"/>
  <c r="E12" i="7" s="1"/>
  <c r="F10" i="7" s="1"/>
  <c r="F12" i="7" s="1"/>
  <c r="G10" i="7" s="1"/>
  <c r="G12" i="7" s="1"/>
  <c r="H10" i="7" s="1"/>
  <c r="H12" i="7" s="1"/>
  <c r="I10" i="7" s="1"/>
  <c r="I12" i="7" s="1"/>
  <c r="J10" i="7" s="1"/>
  <c r="J12" i="7" s="1"/>
  <c r="K10" i="7" s="1"/>
  <c r="K12" i="7" s="1"/>
  <c r="L10" i="7" s="1"/>
  <c r="L12" i="7" s="1"/>
  <c r="M10" i="7" s="1"/>
  <c r="M12" i="7" s="1"/>
  <c r="N10" i="7" s="1"/>
  <c r="N12" i="7" s="1"/>
  <c r="O10" i="7" s="1"/>
  <c r="O12" i="7" s="1"/>
  <c r="P10" i="7" s="1"/>
  <c r="P12" i="7" s="1"/>
  <c r="Q10" i="7" s="1"/>
  <c r="Q12" i="7" s="1"/>
  <c r="R10" i="7" s="1"/>
  <c r="R12" i="7" s="1"/>
  <c r="S10" i="7" s="1"/>
  <c r="S12" i="7" s="1"/>
  <c r="T10" i="7" s="1"/>
  <c r="T12" i="7" s="1"/>
  <c r="U10" i="7" s="1"/>
  <c r="U12" i="7" s="1"/>
  <c r="V10" i="7" s="1"/>
  <c r="V12" i="7" s="1"/>
  <c r="W10" i="7" s="1"/>
  <c r="W12" i="7" s="1"/>
  <c r="X10" i="7" s="1"/>
  <c r="X12" i="7" s="1"/>
  <c r="Y10" i="7" s="1"/>
  <c r="Y12" i="7" s="1"/>
  <c r="Z10" i="7" s="1"/>
  <c r="Z12" i="7" s="1"/>
  <c r="G15" i="6" l="1"/>
  <c r="G21" i="6" s="1"/>
  <c r="G39" i="6" s="1"/>
  <c r="C52" i="6"/>
  <c r="E39" i="6"/>
  <c r="F39" i="6"/>
  <c r="C44" i="6"/>
  <c r="C39" i="6"/>
  <c r="D41" i="6"/>
  <c r="C22" i="7"/>
  <c r="H15" i="6" l="1"/>
  <c r="H21" i="6" s="1"/>
  <c r="H39" i="6" s="1"/>
  <c r="D42" i="6"/>
  <c r="D44" i="6" s="1"/>
  <c r="C48" i="6"/>
  <c r="C47" i="6"/>
  <c r="C76" i="6"/>
  <c r="D53" i="6"/>
  <c r="C23" i="7"/>
  <c r="D20" i="7" s="1"/>
  <c r="I15" i="6" l="1"/>
  <c r="I21" i="6" s="1"/>
  <c r="I39" i="6" s="1"/>
  <c r="C49" i="6"/>
  <c r="C55" i="6" s="1"/>
  <c r="D76" i="6"/>
  <c r="D21" i="7"/>
  <c r="D48" i="6"/>
  <c r="D47" i="6"/>
  <c r="J15" i="6" l="1"/>
  <c r="J21" i="6" s="1"/>
  <c r="J39" i="6" s="1"/>
  <c r="C58" i="6"/>
  <c r="C72" i="6" s="1"/>
  <c r="D49" i="6"/>
  <c r="D55" i="6" s="1"/>
  <c r="D58" i="6" s="1"/>
  <c r="C57" i="6"/>
  <c r="C67" i="6" s="1"/>
  <c r="E41" i="6"/>
  <c r="D22" i="7"/>
  <c r="K15" i="6" l="1"/>
  <c r="K21" i="6" s="1"/>
  <c r="K39" i="6" s="1"/>
  <c r="D72" i="6"/>
  <c r="D57" i="6"/>
  <c r="E42" i="6"/>
  <c r="E44" i="6" s="1"/>
  <c r="E53" i="6"/>
  <c r="D23" i="7"/>
  <c r="E20" i="7" s="1"/>
  <c r="L15" i="6" l="1"/>
  <c r="L21" i="6" s="1"/>
  <c r="D67" i="6"/>
  <c r="E48" i="6"/>
  <c r="E47" i="6"/>
  <c r="E21" i="7"/>
  <c r="E76" i="6"/>
  <c r="L39" i="6" l="1"/>
  <c r="M15" i="6"/>
  <c r="M21" i="6" s="1"/>
  <c r="M39" i="6" s="1"/>
  <c r="E49" i="6"/>
  <c r="E55" i="6" s="1"/>
  <c r="F41" i="6"/>
  <c r="E22" i="7"/>
  <c r="N15" i="6" l="1"/>
  <c r="N21" i="6" s="1"/>
  <c r="N39" i="6" s="1"/>
  <c r="E58" i="6"/>
  <c r="E72" i="6" s="1"/>
  <c r="E57" i="6"/>
  <c r="F53" i="6"/>
  <c r="E23" i="7"/>
  <c r="F20" i="7" s="1"/>
  <c r="F42" i="6"/>
  <c r="F44" i="6" s="1"/>
  <c r="O15" i="6" l="1"/>
  <c r="O21" i="6" s="1"/>
  <c r="O39" i="6" s="1"/>
  <c r="E67" i="6"/>
  <c r="F21" i="7"/>
  <c r="F48" i="6"/>
  <c r="F47" i="6"/>
  <c r="F76" i="6"/>
  <c r="P15" i="6" l="1"/>
  <c r="P21" i="6" s="1"/>
  <c r="P39" i="6" s="1"/>
  <c r="F49" i="6"/>
  <c r="F55" i="6" s="1"/>
  <c r="G41" i="6"/>
  <c r="F22" i="7"/>
  <c r="Q15" i="6" l="1"/>
  <c r="Q21" i="6" s="1"/>
  <c r="F58" i="6"/>
  <c r="F72" i="6" s="1"/>
  <c r="F57" i="6"/>
  <c r="G53" i="6"/>
  <c r="F23" i="7"/>
  <c r="G20" i="7" s="1"/>
  <c r="G42" i="6"/>
  <c r="G44" i="6" s="1"/>
  <c r="Q44" i="6" l="1"/>
  <c r="Q39" i="6"/>
  <c r="R15" i="6"/>
  <c r="R21" i="6" s="1"/>
  <c r="F67" i="6"/>
  <c r="G76" i="6"/>
  <c r="G21" i="7"/>
  <c r="G48" i="6"/>
  <c r="G47" i="6"/>
  <c r="R44" i="6" l="1"/>
  <c r="R39" i="6"/>
  <c r="S15" i="6"/>
  <c r="S21" i="6" s="1"/>
  <c r="Q48" i="6"/>
  <c r="Q47" i="6"/>
  <c r="G49" i="6"/>
  <c r="G55" i="6" s="1"/>
  <c r="H41" i="6"/>
  <c r="G22" i="7"/>
  <c r="Q49" i="6" l="1"/>
  <c r="Q55" i="6" s="1"/>
  <c r="Q57" i="6" s="1"/>
  <c r="S39" i="6"/>
  <c r="S44" i="6"/>
  <c r="T15" i="6"/>
  <c r="T21" i="6" s="1"/>
  <c r="R48" i="6"/>
  <c r="R47" i="6"/>
  <c r="H53" i="6"/>
  <c r="G23" i="7"/>
  <c r="H20" i="7" s="1"/>
  <c r="H42" i="6"/>
  <c r="H44" i="6" s="1"/>
  <c r="G58" i="6"/>
  <c r="G57" i="6"/>
  <c r="Q58" i="6" l="1"/>
  <c r="R49" i="6"/>
  <c r="R55" i="6" s="1"/>
  <c r="R57" i="6" s="1"/>
  <c r="T44" i="6"/>
  <c r="T39" i="6"/>
  <c r="U15" i="6"/>
  <c r="U21" i="6" s="1"/>
  <c r="S48" i="6"/>
  <c r="S47" i="6"/>
  <c r="G72" i="6"/>
  <c r="H47" i="6"/>
  <c r="H48" i="6"/>
  <c r="H76" i="6"/>
  <c r="G67" i="6"/>
  <c r="H21" i="7"/>
  <c r="S49" i="6" l="1"/>
  <c r="S55" i="6" s="1"/>
  <c r="S57" i="6" s="1"/>
  <c r="V15" i="6"/>
  <c r="V21" i="6" s="1"/>
  <c r="V44" i="6" s="1"/>
  <c r="R58" i="6"/>
  <c r="U44" i="6"/>
  <c r="U39" i="6"/>
  <c r="T47" i="6"/>
  <c r="T48" i="6"/>
  <c r="H49" i="6"/>
  <c r="H55" i="6" s="1"/>
  <c r="I41" i="6"/>
  <c r="H22" i="7"/>
  <c r="V39" i="6" l="1"/>
  <c r="S58" i="6"/>
  <c r="W15" i="6"/>
  <c r="W21" i="6" s="1"/>
  <c r="T49" i="6"/>
  <c r="T55" i="6" s="1"/>
  <c r="T58" i="6" s="1"/>
  <c r="U48" i="6"/>
  <c r="U47" i="6"/>
  <c r="V47" i="6"/>
  <c r="V48" i="6"/>
  <c r="H58" i="6"/>
  <c r="H72" i="6" s="1"/>
  <c r="H57" i="6"/>
  <c r="H67" i="6" s="1"/>
  <c r="I53" i="6"/>
  <c r="H23" i="7"/>
  <c r="I20" i="7" s="1"/>
  <c r="I42" i="6"/>
  <c r="I44" i="6" s="1"/>
  <c r="T57" i="6" l="1"/>
  <c r="U49" i="6"/>
  <c r="U55" i="6" s="1"/>
  <c r="U57" i="6" s="1"/>
  <c r="W39" i="6"/>
  <c r="W44" i="6"/>
  <c r="X15" i="6"/>
  <c r="X21" i="6" s="1"/>
  <c r="V49" i="6"/>
  <c r="V55" i="6" s="1"/>
  <c r="I48" i="6"/>
  <c r="I47" i="6"/>
  <c r="I21" i="7"/>
  <c r="I76" i="6"/>
  <c r="V58" i="6" l="1"/>
  <c r="U58" i="6"/>
  <c r="X39" i="6"/>
  <c r="X44" i="6"/>
  <c r="V57" i="6"/>
  <c r="Y15" i="6"/>
  <c r="Y21" i="6" s="1"/>
  <c r="W47" i="6"/>
  <c r="W48" i="6"/>
  <c r="I49" i="6"/>
  <c r="I55" i="6" s="1"/>
  <c r="I58" i="6" s="1"/>
  <c r="I72" i="6" s="1"/>
  <c r="J41" i="6"/>
  <c r="I22" i="7"/>
  <c r="W49" i="6" l="1"/>
  <c r="W55" i="6" s="1"/>
  <c r="W57" i="6" s="1"/>
  <c r="Y39" i="6"/>
  <c r="Y44" i="6"/>
  <c r="AA15" i="6"/>
  <c r="AA21" i="6" s="1"/>
  <c r="Z15" i="6"/>
  <c r="Z21" i="6" s="1"/>
  <c r="X48" i="6"/>
  <c r="X47" i="6"/>
  <c r="I57" i="6"/>
  <c r="I67" i="6" s="1"/>
  <c r="J42" i="6"/>
  <c r="J44" i="6" s="1"/>
  <c r="J53" i="6"/>
  <c r="I23" i="7"/>
  <c r="J20" i="7" s="1"/>
  <c r="W58" i="6" l="1"/>
  <c r="X49" i="6"/>
  <c r="X55" i="6" s="1"/>
  <c r="X57" i="6" s="1"/>
  <c r="Y47" i="6"/>
  <c r="Y48" i="6"/>
  <c r="Z39" i="6"/>
  <c r="Z44" i="6"/>
  <c r="AA39" i="6"/>
  <c r="AA44" i="6"/>
  <c r="B62" i="6"/>
  <c r="C25" i="5" s="1"/>
  <c r="J48" i="6"/>
  <c r="J47" i="6"/>
  <c r="J21" i="7"/>
  <c r="J76" i="6"/>
  <c r="X58" i="6" l="1"/>
  <c r="Y49" i="6"/>
  <c r="Y55" i="6" s="1"/>
  <c r="Y57" i="6" s="1"/>
  <c r="AA47" i="6"/>
  <c r="AA48" i="6"/>
  <c r="Z48" i="6"/>
  <c r="Z47" i="6"/>
  <c r="J49" i="6"/>
  <c r="J55" i="6" s="1"/>
  <c r="K41" i="6"/>
  <c r="J22" i="7"/>
  <c r="J58" i="6" l="1"/>
  <c r="J72" i="6" s="1"/>
  <c r="Y58" i="6"/>
  <c r="Z49" i="6"/>
  <c r="Z55" i="6" s="1"/>
  <c r="Z58" i="6" s="1"/>
  <c r="AA49" i="6"/>
  <c r="AA55" i="6" s="1"/>
  <c r="J57" i="6"/>
  <c r="J67" i="6" s="1"/>
  <c r="K42" i="6"/>
  <c r="K44" i="6" s="1"/>
  <c r="K53" i="6"/>
  <c r="J23" i="7"/>
  <c r="K20" i="7" s="1"/>
  <c r="Z57" i="6" l="1"/>
  <c r="AA57" i="6"/>
  <c r="AA58" i="6"/>
  <c r="K48" i="6"/>
  <c r="K47" i="6"/>
  <c r="K21" i="7"/>
  <c r="K76" i="6"/>
  <c r="K49" i="6" l="1"/>
  <c r="K55" i="6" s="1"/>
  <c r="L41" i="6"/>
  <c r="K22" i="7"/>
  <c r="L53" i="6" l="1"/>
  <c r="K23" i="7"/>
  <c r="L20" i="7" s="1"/>
  <c r="L42" i="6"/>
  <c r="L44" i="6" s="1"/>
  <c r="K58" i="6"/>
  <c r="K72" i="6" s="1"/>
  <c r="K57" i="6"/>
  <c r="K67" i="6" s="1"/>
  <c r="L21" i="7" l="1"/>
  <c r="L48" i="6"/>
  <c r="L47" i="6"/>
  <c r="L76" i="6"/>
  <c r="M41" i="6" l="1"/>
  <c r="L22" i="7"/>
  <c r="L49" i="6"/>
  <c r="L55" i="6" s="1"/>
  <c r="M53" i="6" l="1"/>
  <c r="L23" i="7"/>
  <c r="M20" i="7" s="1"/>
  <c r="M42" i="6"/>
  <c r="M44" i="6" s="1"/>
  <c r="L57" i="6"/>
  <c r="L58" i="6"/>
  <c r="M47" i="6" l="1"/>
  <c r="M48" i="6"/>
  <c r="M76" i="6"/>
  <c r="M21" i="7"/>
  <c r="L72" i="6"/>
  <c r="L67" i="6"/>
  <c r="N41" i="6" l="1"/>
  <c r="M22" i="7"/>
  <c r="M49" i="6"/>
  <c r="M55" i="6" s="1"/>
  <c r="N53" i="6" l="1"/>
  <c r="M23" i="7"/>
  <c r="N20" i="7" s="1"/>
  <c r="N42" i="6"/>
  <c r="N44" i="6" s="1"/>
  <c r="M58" i="6"/>
  <c r="M57" i="6"/>
  <c r="N47" i="6" l="1"/>
  <c r="N48" i="6"/>
  <c r="N76" i="6"/>
  <c r="M67" i="6"/>
  <c r="N21" i="7"/>
  <c r="M72" i="6"/>
  <c r="N49" i="6" l="1"/>
  <c r="N55" i="6" s="1"/>
  <c r="N57" i="6" s="1"/>
  <c r="N67" i="6" s="1"/>
  <c r="O41" i="6"/>
  <c r="N22" i="7"/>
  <c r="N58" i="6" l="1"/>
  <c r="N72" i="6" s="1"/>
  <c r="O53" i="6"/>
  <c r="N23" i="7"/>
  <c r="O20" i="7" s="1"/>
  <c r="O42" i="6"/>
  <c r="O44" i="6" s="1"/>
  <c r="O21" i="7" l="1"/>
  <c r="O47" i="6"/>
  <c r="O48" i="6"/>
  <c r="O76" i="6"/>
  <c r="O49" i="6" l="1"/>
  <c r="O55" i="6" s="1"/>
  <c r="P41" i="6"/>
  <c r="O22" i="7"/>
  <c r="P42" i="6" l="1"/>
  <c r="P44" i="6" s="1"/>
  <c r="O57" i="6"/>
  <c r="O58" i="6"/>
  <c r="P53" i="6"/>
  <c r="O23" i="7"/>
  <c r="P20" i="7" s="1"/>
  <c r="P23" i="7" s="1"/>
  <c r="Q20" i="7" s="1"/>
  <c r="Q23" i="7" s="1"/>
  <c r="R20" i="7" s="1"/>
  <c r="R23" i="7" s="1"/>
  <c r="S20" i="7" s="1"/>
  <c r="S23" i="7" s="1"/>
  <c r="T20" i="7" s="1"/>
  <c r="T23" i="7" s="1"/>
  <c r="U20" i="7" s="1"/>
  <c r="U23" i="7" s="1"/>
  <c r="O72" i="6" l="1"/>
  <c r="O67" i="6"/>
  <c r="P48" i="6"/>
  <c r="P47" i="6"/>
  <c r="P76" i="6"/>
  <c r="C24" i="5" s="1" a="1"/>
  <c r="C24" i="5" s="1"/>
  <c r="P49" i="6" l="1"/>
  <c r="P55" i="6" s="1"/>
  <c r="B64" i="6" s="1"/>
  <c r="B65" i="6" l="1"/>
  <c r="C29" i="5" s="1"/>
  <c r="J4" i="2" s="1"/>
  <c r="C28" i="5"/>
  <c r="I4" i="2" s="1"/>
  <c r="P58" i="6"/>
  <c r="P57" i="6"/>
  <c r="B68" i="6" s="1"/>
  <c r="B69" i="6" l="1"/>
  <c r="C17" i="5" s="1"/>
  <c r="C16" i="5"/>
  <c r="B74" i="6"/>
  <c r="C22" i="5" s="1"/>
  <c r="B73" i="6"/>
  <c r="C21" i="5" s="1"/>
  <c r="P67" i="6"/>
  <c r="Q67" i="6" s="1"/>
  <c r="R67" i="6" s="1"/>
  <c r="S67" i="6" s="1"/>
  <c r="T67" i="6" s="1"/>
  <c r="U67" i="6" s="1"/>
  <c r="V67" i="6" s="1"/>
  <c r="W67" i="6" s="1"/>
  <c r="X67" i="6" s="1"/>
  <c r="Y67" i="6" s="1"/>
  <c r="Z67" i="6" s="1"/>
  <c r="AA67" i="6" s="1"/>
  <c r="P72" i="6"/>
  <c r="Q72" i="6" s="1"/>
  <c r="R72" i="6" s="1"/>
  <c r="S72" i="6" s="1"/>
  <c r="T72" i="6" s="1"/>
  <c r="U72" i="6" s="1"/>
  <c r="V72" i="6" s="1"/>
  <c r="W72" i="6" s="1"/>
  <c r="X72" i="6" s="1"/>
  <c r="Y72" i="6" s="1"/>
  <c r="Z72" i="6" s="1"/>
  <c r="AA7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Goran Jeras</author>
  </authors>
  <commentList>
    <comment ref="A5" authorId="0" shapeId="0" xr:uid="{00000000-0006-0000-0300-000001000000}">
      <text>
        <r>
          <rPr>
            <b/>
            <sz val="10"/>
            <color rgb="FF000000"/>
            <rFont val="Tahoma"/>
            <family val="2"/>
          </rPr>
          <t>Goran Jeras:</t>
        </r>
        <r>
          <rPr>
            <sz val="10"/>
            <color rgb="FF000000"/>
            <rFont val="Tahoma"/>
            <family val="2"/>
          </rPr>
          <t xml:space="preserve">
</t>
        </r>
        <r>
          <rPr>
            <sz val="10"/>
            <color rgb="FF000000"/>
            <rFont val="Tahoma"/>
            <family val="2"/>
          </rPr>
          <t>random numbers, for illustration only, should be replaced with exact figures from compared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Slovic</author>
  </authors>
  <commentList>
    <comment ref="A39" authorId="0" shapeId="0" xr:uid="{00000000-0006-0000-0500-000001000000}">
      <text>
        <r>
          <rPr>
            <sz val="10"/>
            <color rgb="FF000000"/>
            <rFont val="Tahoma"/>
            <family val="2"/>
          </rPr>
          <t>EBITDA is Earnings Before Interest, Taxes, Depreciation, and Amortization.  This line is one, quick way to see if the project is generating cash or not.</t>
        </r>
      </text>
    </comment>
    <comment ref="A40" authorId="0" shapeId="0" xr:uid="{00000000-0006-0000-0500-000002000000}">
      <text>
        <r>
          <rPr>
            <sz val="10"/>
            <color rgb="FF000000"/>
            <rFont val="Tahoma"/>
            <family val="2"/>
          </rPr>
          <t>Depreciation is not an actual cash flow, but it is a taxable expense.  Therefore it will be added back in the After-Tax Cash Flows section below.</t>
        </r>
      </text>
    </comment>
    <comment ref="A53" authorId="0" shapeId="0" xr:uid="{00000000-0006-0000-0500-000003000000}">
      <text>
        <r>
          <rPr>
            <sz val="10"/>
            <color rgb="FF000000"/>
            <rFont val="Tahoma"/>
            <family val="2"/>
          </rPr>
          <t>Principal debt payments are not taxable expenses.</t>
        </r>
      </text>
    </comment>
  </commentList>
</comments>
</file>

<file path=xl/sharedStrings.xml><?xml version="1.0" encoding="utf-8"?>
<sst xmlns="http://schemas.openxmlformats.org/spreadsheetml/2006/main" count="304" uniqueCount="233">
  <si>
    <t>Qualitative assessment criteria for community energy projects</t>
  </si>
  <si>
    <t>Financial participation</t>
  </si>
  <si>
    <t>Community ownership</t>
  </si>
  <si>
    <t>Grade</t>
  </si>
  <si>
    <t>Description</t>
  </si>
  <si>
    <t>Added value to local economy</t>
  </si>
  <si>
    <t>Visual impact on environment</t>
  </si>
  <si>
    <t>No financial participation from local community, but community receives some payments from the project owner</t>
  </si>
  <si>
    <t>No financial participation from local community and no payments other than taxes from owner of the project</t>
  </si>
  <si>
    <t>No community involvement in ownership</t>
  </si>
  <si>
    <t>Climate impact</t>
  </si>
  <si>
    <t>Individual smaller action, with measurable impact on the emmissions reduction</t>
  </si>
  <si>
    <t>Individual action without measurement of its impact</t>
  </si>
  <si>
    <t>Some local participation (less then 5% of the project cost) without contribution to local employment</t>
  </si>
  <si>
    <t>XYZ Community project</t>
  </si>
  <si>
    <t>Legal complexity</t>
  </si>
  <si>
    <t>Project Summary</t>
  </si>
  <si>
    <t>Project Name</t>
  </si>
  <si>
    <t>Project Size (MW)</t>
  </si>
  <si>
    <t>PPA</t>
  </si>
  <si>
    <t>Ownership Structure</t>
  </si>
  <si>
    <t>Total Installed Cost</t>
  </si>
  <si>
    <t>Local Investor Contribution</t>
  </si>
  <si>
    <t>Local Investor IRR</t>
  </si>
  <si>
    <t>Local Investor Return (NPV)</t>
  </si>
  <si>
    <t>Equity Investor Required Rate of Return</t>
  </si>
  <si>
    <t>Equity Investor Contribution</t>
  </si>
  <si>
    <t>Equity Investor IRR</t>
  </si>
  <si>
    <t>Equity Investor Return (NPV)</t>
  </si>
  <si>
    <t>Lowest DSCR</t>
  </si>
  <si>
    <t>O &amp; M Rate (% of revenues)</t>
  </si>
  <si>
    <t>Capital Cost per kW</t>
  </si>
  <si>
    <t>Manufacturer</t>
  </si>
  <si>
    <t>no</t>
  </si>
  <si>
    <t>yes</t>
  </si>
  <si>
    <t>Straight-Line</t>
  </si>
  <si>
    <t>None</t>
  </si>
  <si>
    <t>Equity Investor Equity</t>
  </si>
  <si>
    <t>Notes</t>
  </si>
  <si>
    <t>Equity Investor Financing</t>
  </si>
  <si>
    <t>Is the Local Owner also the Project Manager?</t>
  </si>
  <si>
    <t>Is the Local Owner also the Land Owner?</t>
  </si>
  <si>
    <t>Local Owner Tax Rate</t>
  </si>
  <si>
    <t>Local Owner Discount Rate</t>
  </si>
  <si>
    <t>TOTAL</t>
  </si>
  <si>
    <t>Local Owner Equity</t>
  </si>
  <si>
    <t>Other</t>
  </si>
  <si>
    <t>Local Owner Financing</t>
  </si>
  <si>
    <t>Installation/Construction</t>
  </si>
  <si>
    <t>Commissioning</t>
  </si>
  <si>
    <t>Interconnection</t>
  </si>
  <si>
    <t>Minimum Allowed Debt Service Coverage Ratio</t>
  </si>
  <si>
    <t>Annual Debt Payment</t>
  </si>
  <si>
    <t>Project Design &amp; Development</t>
  </si>
  <si>
    <t>Debt Term in Years</t>
  </si>
  <si>
    <t xml:space="preserve">Break-out Cost Tool </t>
  </si>
  <si>
    <t>Total Debt</t>
  </si>
  <si>
    <t>-OR-</t>
  </si>
  <si>
    <t>End</t>
  </si>
  <si>
    <t>Start</t>
  </si>
  <si>
    <t>Project Debt</t>
  </si>
  <si>
    <t xml:space="preserve">Total Cost </t>
  </si>
  <si>
    <t>Year</t>
  </si>
  <si>
    <t>Project Power, kW</t>
  </si>
  <si>
    <t>Project Cost per kW</t>
  </si>
  <si>
    <t>Cost Tool</t>
  </si>
  <si>
    <t>Local Owner Contribution</t>
  </si>
  <si>
    <t>What kind of Depreciation can the project utilize?</t>
  </si>
  <si>
    <t>Depreciation</t>
  </si>
  <si>
    <t>Other Public or State Provided Funding</t>
  </si>
  <si>
    <t>Equity Owner Percentage Post-Flip</t>
  </si>
  <si>
    <t>Other Expense</t>
  </si>
  <si>
    <t>Equity Owner Percentage Pre-Flip</t>
  </si>
  <si>
    <t>Decomm. Fund Post-Warranty Expiration</t>
  </si>
  <si>
    <t>Local Owner Percentage Post-Flip</t>
  </si>
  <si>
    <t>Decomm. Fund Pre-Warranty Expiration</t>
  </si>
  <si>
    <t>Local Owner Percentage Pre-Flip</t>
  </si>
  <si>
    <t>Warranty Expense</t>
  </si>
  <si>
    <t>Flip Buy-Out Payment/Fee</t>
  </si>
  <si>
    <t>Flip Year</t>
  </si>
  <si>
    <t xml:space="preserve">Admin/Financial/Legal Management </t>
  </si>
  <si>
    <t>Equity &amp; Flip Structure</t>
  </si>
  <si>
    <t>Lease Payments to Landowners</t>
  </si>
  <si>
    <t xml:space="preserve">Property Tax </t>
  </si>
  <si>
    <t xml:space="preserve">Insurance </t>
  </si>
  <si>
    <t>Project Management Fee</t>
  </si>
  <si>
    <t>Operations &amp; Maintenance Contingency Fund</t>
  </si>
  <si>
    <t>Escalation</t>
  </si>
  <si>
    <t>Revenue</t>
  </si>
  <si>
    <t>Operations &amp; Maintenance</t>
  </si>
  <si>
    <t>Annual</t>
  </si>
  <si>
    <t>Expenses</t>
  </si>
  <si>
    <t>Total Cost</t>
  </si>
  <si>
    <t>Project Cost</t>
  </si>
  <si>
    <t>Project Size (kW)</t>
  </si>
  <si>
    <t>Project Owner</t>
  </si>
  <si>
    <t>Project Generation</t>
  </si>
  <si>
    <t>Incentives</t>
  </si>
  <si>
    <t>Input information about the project into yellow cells.</t>
  </si>
  <si>
    <t>Green cells indicate information and are updated automatically based on user input into yellow cells.</t>
  </si>
  <si>
    <t>Legend</t>
  </si>
  <si>
    <t>Project Assumptions</t>
  </si>
  <si>
    <t>Running Total of O&amp;M Contingency Fund</t>
  </si>
  <si>
    <t>Running Total of Decommissioning Fund</t>
  </si>
  <si>
    <t>OTHER DETAILS</t>
  </si>
  <si>
    <t>Debt Service Coverage Ratio</t>
  </si>
  <si>
    <t>DEBT COVERAGE</t>
  </si>
  <si>
    <t xml:space="preserve">NPV </t>
  </si>
  <si>
    <t xml:space="preserve">Overall IRR </t>
  </si>
  <si>
    <t>Running IRR</t>
  </si>
  <si>
    <t>Required Rate of Return</t>
  </si>
  <si>
    <t>EQUITY INVESTOR RESULTS</t>
  </si>
  <si>
    <t>Overall IRR</t>
  </si>
  <si>
    <t>LOCAL OWNER RESULTS</t>
  </si>
  <si>
    <t>Capital Cost per kWh</t>
  </si>
  <si>
    <t>PROJECT RESULTS</t>
  </si>
  <si>
    <t>Equity Investor Return</t>
  </si>
  <si>
    <t>Local Owner Return</t>
  </si>
  <si>
    <t>Net After-Tax Project Cash Flow</t>
  </si>
  <si>
    <t>Less Debt Principal Payment</t>
  </si>
  <si>
    <t>Add Back Depreciation</t>
  </si>
  <si>
    <t>AFTER-TAX CASH FLOWS</t>
  </si>
  <si>
    <t>Total Tax Benefit/(Liability)</t>
  </si>
  <si>
    <t>Equity Investor Income Tax Benefit (Liability)</t>
  </si>
  <si>
    <t>Local Owner Income Tax Benefit/(Liability)</t>
  </si>
  <si>
    <t>TAXES</t>
  </si>
  <si>
    <t>Taxable Income</t>
  </si>
  <si>
    <t>Total Annual Expenses</t>
  </si>
  <si>
    <t>Debt Interest Payment</t>
  </si>
  <si>
    <t>EBITDA</t>
  </si>
  <si>
    <t>EBITDA &amp; Taxable Income</t>
  </si>
  <si>
    <t>Total Annual Operating Expenses</t>
  </si>
  <si>
    <t>Production Tax Expense</t>
  </si>
  <si>
    <t>Admin/Financial/Legal Management</t>
  </si>
  <si>
    <t>Leaseholder Payments</t>
  </si>
  <si>
    <t>Property Tax</t>
  </si>
  <si>
    <t>Insurance</t>
  </si>
  <si>
    <t>Project Management  Fee</t>
  </si>
  <si>
    <t>EXPENSES</t>
  </si>
  <si>
    <t>REVENUES</t>
  </si>
  <si>
    <t>Equity Investment (Project Cost Less Debt &amp; Grants)</t>
  </si>
  <si>
    <t>CAPITAL EXPENDITURES</t>
  </si>
  <si>
    <t>Ending Value</t>
  </si>
  <si>
    <t>Beginning Value</t>
  </si>
  <si>
    <t>Net Book Value</t>
  </si>
  <si>
    <t>Ending Balance</t>
  </si>
  <si>
    <t>Principal Payment</t>
  </si>
  <si>
    <t>Interest Payment</t>
  </si>
  <si>
    <t>Beginning Balance</t>
  </si>
  <si>
    <t>Debt Service Schedule</t>
  </si>
  <si>
    <t>Annual Depreciation</t>
  </si>
  <si>
    <t>Years to Depreciate</t>
  </si>
  <si>
    <t>Depreciation - Straight Line</t>
  </si>
  <si>
    <t>Number of production units</t>
  </si>
  <si>
    <t>Equity Investor Discount Rate (%)</t>
  </si>
  <si>
    <t>Equity Investor Tax Rate (%)</t>
  </si>
  <si>
    <t>Equity Investor Required Rate of Return (%)</t>
  </si>
  <si>
    <t>Interest Rate (%)</t>
  </si>
  <si>
    <t>Production Incentive Payment (€/kWh)</t>
  </si>
  <si>
    <t>EU Grant</t>
  </si>
  <si>
    <t>Production Tax Expense (€/kWh)</t>
  </si>
  <si>
    <t>This is a tool to help the user determine the total installed cost of the project.  Once the installed cost is determined the user should manually enter the results from cell J33 or J43 into cell C20.</t>
  </si>
  <si>
    <t>Feasibility study</t>
  </si>
  <si>
    <t>Production equipment</t>
  </si>
  <si>
    <t>IRR (Years 1-25)</t>
  </si>
  <si>
    <t>Net Present Value (Years 1-25)</t>
  </si>
  <si>
    <t>Equipment type</t>
  </si>
  <si>
    <t>Net Capacity Factor (Years 1-25)</t>
  </si>
  <si>
    <t>Total kWh Produced (Years 1-25)</t>
  </si>
  <si>
    <t>Market rate</t>
  </si>
  <si>
    <t>Community Value Assessment Tool</t>
  </si>
  <si>
    <t>Community Ownership</t>
  </si>
  <si>
    <t>Climate Impact</t>
  </si>
  <si>
    <t>Added Value to Local Economy</t>
  </si>
  <si>
    <t>Visual Impact On Environment</t>
  </si>
  <si>
    <t>Legal Complexity</t>
  </si>
  <si>
    <t>FINAL SCORE</t>
  </si>
  <si>
    <t>The project has been fully funded by the local community through sales of shares and/or debentures. The funds come predominantely from individuals or companies that have their residence in the community" - here I think it is not important to speak of financial returns</t>
  </si>
  <si>
    <t>The project has been fully funded by citizens through sales of shares and/or debentures. The funds come predominantely from individuals or companies that do not have their residence in the community</t>
  </si>
  <si>
    <t>The project has been funded by a combination of financial contributions from citizens, local companies, the local government and a private investor who does not come from the community.</t>
  </si>
  <si>
    <t>The local government predominantly invests in the project, there is no participation from citizens</t>
  </si>
  <si>
    <t>Owned by community through democratically organized entity (e.g. energy cooperative). Voting on major decisions is organised on principle "one member one vote"</t>
  </si>
  <si>
    <t>Partially owned by local government and citizens in form of public private partnership. Citizens are organised in an organisation like an energy cooperative with "one member one vote principle".</t>
  </si>
  <si>
    <t>Fully or majority owned by citizens or local investors but without governence on "one member one vote principle"</t>
  </si>
  <si>
    <t>Owned by external investors with minority shares owned by community-based onvetors without "one member-one vote" governing principle</t>
  </si>
  <si>
    <t>Owned by external investor with participation of local government in the supervisory role (e.g. membership in the supervisory or advisory committee.</t>
  </si>
  <si>
    <t>Part of the comprehensive local strategy to combate climate change (SEAP, SECAP or local development strategy). Important is that the development of the strategy has involved local community stakeholders.</t>
  </si>
  <si>
    <t xml:space="preserve">Part of the wider stuctured programme of sustainability actions, possibility for the replication or expansion of  the project and/pr outcomes of the project are part of the coordinated strategy of multiple community stakeholders. Significant measurable effects are result of the project. </t>
  </si>
  <si>
    <t>Individual larger action, with measurable and significant impact on the emmissions reduction but is not part of comprehensive structured programme neither involves other community stakeholders.</t>
  </si>
  <si>
    <t>No positive impact on emmission reductions or other climate factors</t>
  </si>
  <si>
    <t>At least 50% of cost of implementation of the project could be sourced locally (within the NUTS2 region) and systemic contribution to local employment in permanently created jobs.</t>
  </si>
  <si>
    <t>30-50% of local cost of implementation could be sourced locally (within NUTS2 region) or systemic contribution to employment through permanently created jobs.</t>
  </si>
  <si>
    <t>15-30% of local cost of implementetion could be sourced locally (within NUTS2 region) or significant contribution to local employment through permanently created jobs.</t>
  </si>
  <si>
    <t>5%-15% of local cost of impleentation could be sourced locally  (within NUTS2 region) or contribution to local employment through permanently created jobs.</t>
  </si>
  <si>
    <t>No participation of local businesses in the project implementation and no contribution to local employment.</t>
  </si>
  <si>
    <t>The project does not have any significant visual, noise or smell related negative impact on the local environment. Local government was actively involved in the design phase of the project and community has positive attitude towards it.</t>
  </si>
  <si>
    <t>The project does not have any major visual, noise or smell related negative impact on the local environment. Local government was not actively involved in the design phase of the project. The general community sentiment towards the project is largely positive.</t>
  </si>
  <si>
    <t>The project does has no visual, noise or smell related negative impact on the local environment or has positive impact on the environment. Community was involved in the design phase of the project and has positive attitude towards it.</t>
  </si>
  <si>
    <t>The project has some negative visual, noise or smell related impact on the local environment. Local government was not actively involved in the design phase of the project. The general community sentiment towards the project is neutral.</t>
  </si>
  <si>
    <t>The project has some negative visual, noise or smell related impact on the local environment. Local government was not actively involved in the design phase of the project. The general community sentiment towards the project is negative.</t>
  </si>
  <si>
    <t>The project has some negative visual, noise or smell related impact on the local environment. Local government was not actively involved in the design phase of the project. The general community sentiment towards the project is negative and there is active opposition to it.</t>
  </si>
  <si>
    <t>The local laws allow the project to be implemented without any major administrative hurdles. The type of the entitiy to be created in order to host the project is defined in national laws - the financing of the legal entity also alows for participation of citizens (share/debenture sales have been legally defined). Similar projects have been implemented before within the national legal context.</t>
  </si>
  <si>
    <t>The type of ownership and financing structure that the project suggests has never been implemented in the national legal context, the type of organisation and financing model has not been legally defined and its implementation could legally compromise the involved parties.</t>
  </si>
  <si>
    <t>The type of ownership and financing structure that the project suggests is possible but has never been implemented in the national legal context, the type of organisation and financing model are complex and will be the first of its kind in existing legal context.</t>
  </si>
  <si>
    <t>The type of ownership and financing structure exist and have been implemented in the national legal context. However, the procedure of the implementation is very long and complex and there are not many available support mechanisms to provide support in the process.</t>
  </si>
  <si>
    <t>The local laws allow the project to be implemented without any major administrative hurdles. The type of the entitiy to be created in order to host the project is defined in national laws - the financing of the legal entity also alows for participation of citizens. However, the project is complex and requires considerable effort for its implementation.</t>
  </si>
  <si>
    <t>The national laws have been implemented and allow creation of such a project. There are well established mechanisms and experience that could be replicated. However, local community does not have experience in the implementation of similar projects and should see external expertise.</t>
  </si>
  <si>
    <t>Project comparison</t>
  </si>
  <si>
    <t>Project name</t>
  </si>
  <si>
    <t>Local acceptance index</t>
  </si>
  <si>
    <t>Peer project 2</t>
  </si>
  <si>
    <t>Peer project 3</t>
  </si>
  <si>
    <t>Project cost</t>
  </si>
  <si>
    <t>IRR</t>
  </si>
  <si>
    <t>NPV</t>
  </si>
  <si>
    <t>PV  SWP</t>
  </si>
  <si>
    <t>Stadtwerke</t>
  </si>
  <si>
    <t>IBC Solar</t>
  </si>
  <si>
    <t>Generated Energy per kWp</t>
  </si>
  <si>
    <t>Rate of self-consumed eletricity</t>
  </si>
  <si>
    <t>Amount of Self-Consumed Electricity (kWh/yr)</t>
  </si>
  <si>
    <t>Amount of Generated Electricity (kWh/yr)</t>
  </si>
  <si>
    <t>Electricity Sales Revenue per PPA/Market RES (€)</t>
  </si>
  <si>
    <t>Savings from Avoided Electricity Consumption (€)</t>
  </si>
  <si>
    <t>Production Incentive Payments (€)</t>
  </si>
  <si>
    <t>Total Annual Revenues (€)</t>
  </si>
  <si>
    <t>Funds for Self-consumed Electricity (€/kWh)</t>
  </si>
  <si>
    <t>End customer price for Electricity (€/kWh)</t>
  </si>
  <si>
    <t>Funds for Self-Consumed Electricity (€/kWh)</t>
  </si>
  <si>
    <t>Total Funds for Self-Consumed Electricity (€)</t>
  </si>
  <si>
    <t>Grey cells are not used.</t>
  </si>
  <si>
    <t>Unit Size (W)</t>
  </si>
  <si>
    <t>Power Purchase Agreement Rate / Market RES Rate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</si>
</sst>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0000"/>
    <numFmt numFmtId="165" formatCode="0.0%"/>
    <numFmt numFmtId="166" formatCode="_(&quot;$&quot;* #,##0_);_(&quot;$&quot;* \(#,##0\);_(&quot;$&quot;* &quot;-&quot;??_);_(@_)"/>
    <numFmt numFmtId="167" formatCode="_(&quot;$&quot;* #,##0.00_);_(&quot;$&quot;* \(#,##0.00\);_(&quot;$&quot;* &quot;-&quot;??_);_(@_)"/>
    <numFmt numFmtId="168" formatCode="&quot;$&quot;#,##0"/>
    <numFmt numFmtId="169" formatCode="0.0"/>
    <numFmt numFmtId="170" formatCode="_(&quot;$&quot;* #,##0.000_);_(&quot;$&quot;* \(#,##0.000\);_(&quot;$&quot;* &quot;-&quot;??_);_(@_)"/>
    <numFmt numFmtId="171" formatCode="_(* #,##0.00_);_(* \(#,##0.00\);_(* &quot;-&quot;??_);_(@_)"/>
    <numFmt numFmtId="172" formatCode="_(* #,##0_);_(* \(#,##0\);_(* &quot;-&quot;??_);_(@_)"/>
    <numFmt numFmtId="173" formatCode="_(* #,##0.000_);_(* \(#,##0.000\);_(* &quot;-&quot;??_);_(@_)"/>
    <numFmt numFmtId="174" formatCode="#,##0.000_);[Red]\(#,##0.000\)"/>
    <numFmt numFmtId="175" formatCode="_-[$€-2]\ * #,##0.00_-;\-[$€-2]\ * #,##0.00_-;_-[$€-2]\ * &quot;-&quot;??_-;_-@_-"/>
    <numFmt numFmtId="176" formatCode="0.000"/>
    <numFmt numFmtId="177" formatCode="0\ &quot;kWh/kWp&quot;"/>
    <numFmt numFmtId="178" formatCode="#,##0_);[Red]\(#,##0\)"/>
  </numFmts>
  <fonts count="23" x14ac:knownFonts="1">
    <font>
      <sz val="12"/>
      <color theme="1"/>
      <name val="Calibri"/>
      <family val="2"/>
      <scheme val="minor"/>
    </font>
    <font>
      <b/>
      <sz val="12"/>
      <color theme="1"/>
      <name val="Calibri"/>
      <family val="2"/>
      <scheme val="minor"/>
    </font>
    <font>
      <b/>
      <sz val="20"/>
      <color theme="1"/>
      <name val="Calibri"/>
      <family val="2"/>
      <scheme val="minor"/>
    </font>
    <font>
      <sz val="10"/>
      <name val="Arial"/>
      <family val="2"/>
    </font>
    <font>
      <b/>
      <sz val="10"/>
      <name val="Arial"/>
      <family val="2"/>
    </font>
    <font>
      <sz val="10"/>
      <name val="Arial"/>
      <family val="2"/>
    </font>
    <font>
      <sz val="12"/>
      <name val="Arial"/>
      <family val="2"/>
    </font>
    <font>
      <sz val="8"/>
      <name val="Arial"/>
      <family val="2"/>
    </font>
    <font>
      <b/>
      <sz val="8"/>
      <name val="Arial"/>
      <family val="2"/>
    </font>
    <font>
      <u/>
      <sz val="12"/>
      <name val="Arial"/>
      <family val="2"/>
    </font>
    <font>
      <b/>
      <sz val="12"/>
      <name val="Arial"/>
      <family val="2"/>
    </font>
    <font>
      <b/>
      <sz val="11"/>
      <name val="Arial"/>
      <family val="2"/>
    </font>
    <font>
      <b/>
      <u/>
      <sz val="20"/>
      <name val="Arial"/>
      <family val="2"/>
    </font>
    <font>
      <b/>
      <u/>
      <sz val="12"/>
      <color indexed="9"/>
      <name val="Arial"/>
      <family val="2"/>
    </font>
    <font>
      <b/>
      <u/>
      <sz val="20"/>
      <color indexed="9"/>
      <name val="Arial"/>
      <family val="2"/>
    </font>
    <font>
      <sz val="10"/>
      <color rgb="FF000000"/>
      <name val="Tahoma"/>
      <family val="2"/>
    </font>
    <font>
      <b/>
      <u/>
      <sz val="12"/>
      <name val="Arial"/>
      <family val="2"/>
    </font>
    <font>
      <sz val="10"/>
      <name val="Garamond"/>
      <family val="1"/>
    </font>
    <font>
      <sz val="9"/>
      <name val="Arial"/>
      <family val="2"/>
    </font>
    <font>
      <b/>
      <u/>
      <sz val="16"/>
      <name val="Arial"/>
      <family val="2"/>
    </font>
    <font>
      <b/>
      <u/>
      <sz val="10"/>
      <name val="Arial"/>
      <family val="2"/>
    </font>
    <font>
      <sz val="26"/>
      <color theme="1"/>
      <name val="Calibri"/>
      <family val="2"/>
      <scheme val="minor"/>
    </font>
    <font>
      <b/>
      <sz val="10"/>
      <color rgb="FF000000"/>
      <name val="Tahoma"/>
      <family val="2"/>
    </font>
  </fonts>
  <fills count="12">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theme="9" tint="0.79998168889431442"/>
        <bgColor indexed="64"/>
      </patternFill>
    </fill>
    <fill>
      <patternFill patternType="solid">
        <fgColor rgb="FFCCFFCD"/>
        <bgColor indexed="64"/>
      </patternFill>
    </fill>
    <fill>
      <patternFill patternType="solid">
        <fgColor rgb="FFFFFF99"/>
        <bgColor indexed="64"/>
      </patternFill>
    </fill>
    <fill>
      <patternFill patternType="solid">
        <fgColor theme="5" tint="0.59999389629810485"/>
        <bgColor indexed="64"/>
      </patternFill>
    </fill>
  </fills>
  <borders count="69">
    <border>
      <left/>
      <right/>
      <top/>
      <bottom/>
      <diagonal/>
    </border>
    <border>
      <left style="thick">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0" fontId="17" fillId="0" borderId="0"/>
  </cellStyleXfs>
  <cellXfs count="365">
    <xf numFmtId="0" fontId="0" fillId="0" borderId="0" xfId="0"/>
    <xf numFmtId="0" fontId="2" fillId="0" borderId="0" xfId="0" applyFont="1"/>
    <xf numFmtId="0" fontId="6" fillId="0" borderId="0" xfId="1" applyFont="1"/>
    <xf numFmtId="0" fontId="3" fillId="0" borderId="0" xfId="1" applyAlignment="1">
      <alignment wrapText="1"/>
    </xf>
    <xf numFmtId="0" fontId="6" fillId="0" borderId="5" xfId="1" applyFont="1" applyBorder="1"/>
    <xf numFmtId="0" fontId="5" fillId="0" borderId="0" xfId="1" applyFont="1" applyAlignment="1">
      <alignment wrapText="1"/>
    </xf>
    <xf numFmtId="0" fontId="6" fillId="0" borderId="6" xfId="1" applyFont="1" applyBorder="1" applyProtection="1">
      <protection locked="0"/>
    </xf>
    <xf numFmtId="0" fontId="6" fillId="2" borderId="7" xfId="1" applyFont="1" applyFill="1" applyBorder="1" applyAlignment="1">
      <alignment horizontal="right"/>
    </xf>
    <xf numFmtId="0" fontId="6" fillId="2" borderId="8" xfId="1" applyFont="1" applyFill="1" applyBorder="1" applyAlignment="1">
      <alignment horizontal="right"/>
    </xf>
    <xf numFmtId="9" fontId="6" fillId="3" borderId="7" xfId="1" applyNumberFormat="1" applyFont="1" applyFill="1" applyBorder="1" applyProtection="1">
      <protection locked="0"/>
    </xf>
    <xf numFmtId="0" fontId="6" fillId="0" borderId="9" xfId="1" applyFont="1" applyBorder="1"/>
    <xf numFmtId="0" fontId="7" fillId="0" borderId="0" xfId="1" applyFont="1" applyAlignment="1">
      <alignment vertical="center"/>
    </xf>
    <xf numFmtId="164" fontId="8" fillId="0" borderId="0" xfId="1" applyNumberFormat="1" applyFont="1" applyAlignment="1">
      <alignment vertical="center"/>
    </xf>
    <xf numFmtId="0" fontId="8" fillId="0" borderId="0" xfId="1" applyFont="1" applyAlignment="1">
      <alignment vertical="center"/>
    </xf>
    <xf numFmtId="166" fontId="9" fillId="0" borderId="10" xfId="1" applyNumberFormat="1" applyFont="1" applyBorder="1" applyProtection="1">
      <protection locked="0"/>
    </xf>
    <xf numFmtId="166" fontId="6" fillId="2" borderId="5" xfId="2" applyNumberFormat="1" applyFont="1" applyFill="1" applyBorder="1" applyProtection="1"/>
    <xf numFmtId="166" fontId="6" fillId="2" borderId="11" xfId="2" applyNumberFormat="1" applyFont="1" applyFill="1" applyBorder="1" applyProtection="1"/>
    <xf numFmtId="9" fontId="6" fillId="3" borderId="5" xfId="2" applyNumberFormat="1" applyFont="1" applyFill="1" applyBorder="1" applyAlignment="1" applyProtection="1">
      <protection locked="0"/>
    </xf>
    <xf numFmtId="0" fontId="6" fillId="0" borderId="12" xfId="1" applyFont="1" applyBorder="1"/>
    <xf numFmtId="164" fontId="7" fillId="0" borderId="0" xfId="1" applyNumberFormat="1" applyFont="1" applyAlignment="1">
      <alignment vertical="center"/>
    </xf>
    <xf numFmtId="166" fontId="6" fillId="0" borderId="10" xfId="1" applyNumberFormat="1" applyFont="1" applyBorder="1" applyProtection="1">
      <protection locked="0"/>
    </xf>
    <xf numFmtId="10" fontId="7" fillId="0" borderId="0" xfId="1" applyNumberFormat="1" applyFont="1" applyAlignment="1">
      <alignment vertical="center"/>
    </xf>
    <xf numFmtId="0" fontId="7" fillId="0" borderId="0" xfId="1" applyFont="1" applyAlignment="1">
      <alignment horizontal="center" vertical="center"/>
    </xf>
    <xf numFmtId="0" fontId="6" fillId="0" borderId="13" xfId="1" applyFont="1" applyBorder="1" applyProtection="1">
      <protection locked="0"/>
    </xf>
    <xf numFmtId="166" fontId="6" fillId="2" borderId="14" xfId="2" applyNumberFormat="1" applyFont="1" applyFill="1" applyBorder="1" applyProtection="1"/>
    <xf numFmtId="166" fontId="6" fillId="2" borderId="15" xfId="2" applyNumberFormat="1" applyFont="1" applyFill="1" applyBorder="1" applyProtection="1"/>
    <xf numFmtId="0" fontId="6" fillId="0" borderId="16" xfId="1" applyFont="1" applyBorder="1"/>
    <xf numFmtId="0" fontId="10" fillId="0" borderId="17" xfId="1" applyFont="1" applyBorder="1" applyAlignment="1">
      <alignment horizontal="center"/>
    </xf>
    <xf numFmtId="0" fontId="10" fillId="0" borderId="18" xfId="1" applyFont="1" applyBorder="1" applyAlignment="1">
      <alignment horizontal="center"/>
    </xf>
    <xf numFmtId="0" fontId="6" fillId="0" borderId="18" xfId="1" applyFont="1" applyBorder="1"/>
    <xf numFmtId="0" fontId="10" fillId="0" borderId="18" xfId="1" applyFont="1" applyBorder="1"/>
    <xf numFmtId="0" fontId="6" fillId="0" borderId="24" xfId="1" applyFont="1" applyBorder="1"/>
    <xf numFmtId="0" fontId="10" fillId="0" borderId="21" xfId="1" applyFont="1" applyBorder="1" applyAlignment="1">
      <alignment horizontal="center"/>
    </xf>
    <xf numFmtId="0" fontId="10" fillId="0" borderId="0" xfId="1" applyFont="1" applyAlignment="1">
      <alignment horizontal="center"/>
    </xf>
    <xf numFmtId="168" fontId="7" fillId="0" borderId="0" xfId="1" applyNumberFormat="1" applyFont="1" applyAlignment="1">
      <alignment vertical="center"/>
    </xf>
    <xf numFmtId="168" fontId="7" fillId="0" borderId="0" xfId="1" applyNumberFormat="1" applyFont="1" applyAlignment="1">
      <alignment horizontal="right" vertical="center"/>
    </xf>
    <xf numFmtId="0" fontId="6" fillId="0" borderId="20" xfId="1" applyFont="1" applyBorder="1"/>
    <xf numFmtId="0" fontId="6" fillId="2" borderId="7" xfId="1" applyFont="1" applyFill="1" applyBorder="1"/>
    <xf numFmtId="166" fontId="6" fillId="3" borderId="7" xfId="1" applyNumberFormat="1" applyFont="1" applyFill="1" applyBorder="1" applyProtection="1">
      <protection locked="0"/>
    </xf>
    <xf numFmtId="0" fontId="6" fillId="0" borderId="25" xfId="1" applyFont="1" applyBorder="1"/>
    <xf numFmtId="0" fontId="6" fillId="0" borderId="26" xfId="1" applyFont="1" applyBorder="1"/>
    <xf numFmtId="0" fontId="6" fillId="0" borderId="23" xfId="1" applyFont="1" applyBorder="1" applyProtection="1">
      <protection locked="0"/>
    </xf>
    <xf numFmtId="166" fontId="6" fillId="2" borderId="5" xfId="1" applyNumberFormat="1" applyFont="1" applyFill="1" applyBorder="1"/>
    <xf numFmtId="166" fontId="6" fillId="3" borderId="5" xfId="1" applyNumberFormat="1" applyFont="1" applyFill="1" applyBorder="1" applyProtection="1">
      <protection locked="0"/>
    </xf>
    <xf numFmtId="0" fontId="6" fillId="0" borderId="28" xfId="1" applyFont="1" applyBorder="1"/>
    <xf numFmtId="3" fontId="7" fillId="0" borderId="0" xfId="1" applyNumberFormat="1" applyFont="1" applyAlignment="1">
      <alignment vertical="center"/>
    </xf>
    <xf numFmtId="0" fontId="6" fillId="0" borderId="0" xfId="1" applyFont="1" applyProtection="1">
      <protection locked="0"/>
    </xf>
    <xf numFmtId="166" fontId="9" fillId="0" borderId="32" xfId="1" applyNumberFormat="1" applyFont="1" applyBorder="1" applyProtection="1">
      <protection locked="0"/>
    </xf>
    <xf numFmtId="166" fontId="6" fillId="2" borderId="33" xfId="2" applyNumberFormat="1" applyFont="1" applyFill="1" applyBorder="1" applyProtection="1"/>
    <xf numFmtId="166" fontId="6" fillId="2" borderId="34" xfId="2" applyNumberFormat="1" applyFont="1" applyFill="1" applyBorder="1" applyProtection="1"/>
    <xf numFmtId="9" fontId="6" fillId="3" borderId="33" xfId="2" applyNumberFormat="1" applyFont="1" applyFill="1" applyBorder="1" applyAlignment="1" applyProtection="1">
      <protection locked="0"/>
    </xf>
    <xf numFmtId="0" fontId="6" fillId="0" borderId="35" xfId="1" applyFont="1" applyBorder="1"/>
    <xf numFmtId="9" fontId="7" fillId="0" borderId="0" xfId="1" applyNumberFormat="1" applyFont="1" applyAlignment="1">
      <alignment vertical="center"/>
    </xf>
    <xf numFmtId="169" fontId="7" fillId="0" borderId="0" xfId="1" applyNumberFormat="1" applyFont="1" applyAlignment="1">
      <alignment vertical="center"/>
    </xf>
    <xf numFmtId="0" fontId="6" fillId="0" borderId="29" xfId="1" applyFont="1" applyBorder="1"/>
    <xf numFmtId="0" fontId="6" fillId="0" borderId="30" xfId="1" applyFont="1" applyBorder="1"/>
    <xf numFmtId="9" fontId="6" fillId="0" borderId="19" xfId="1" applyNumberFormat="1" applyFont="1" applyBorder="1" applyAlignment="1">
      <alignment horizontal="left"/>
    </xf>
    <xf numFmtId="0" fontId="6" fillId="0" borderId="19" xfId="1" applyFont="1" applyBorder="1" applyAlignment="1">
      <alignment vertical="center"/>
    </xf>
    <xf numFmtId="0" fontId="6" fillId="0" borderId="37" xfId="1" applyFont="1" applyBorder="1" applyProtection="1">
      <protection locked="0"/>
    </xf>
    <xf numFmtId="9" fontId="6" fillId="0" borderId="9" xfId="1" applyNumberFormat="1" applyFont="1" applyBorder="1" applyAlignment="1" applyProtection="1">
      <alignment horizontal="left"/>
      <protection locked="0"/>
    </xf>
    <xf numFmtId="0" fontId="6" fillId="0" borderId="9" xfId="1" applyFont="1" applyBorder="1" applyAlignment="1">
      <alignment vertical="center"/>
    </xf>
    <xf numFmtId="0" fontId="6" fillId="0" borderId="10" xfId="1" applyFont="1" applyBorder="1" applyProtection="1">
      <protection locked="0"/>
    </xf>
    <xf numFmtId="0" fontId="6" fillId="0" borderId="38" xfId="1" applyFont="1" applyBorder="1" applyProtection="1">
      <protection locked="0"/>
    </xf>
    <xf numFmtId="9" fontId="6" fillId="0" borderId="12" xfId="1" applyNumberFormat="1" applyFont="1" applyBorder="1" applyAlignment="1" applyProtection="1">
      <alignment horizontal="left"/>
      <protection locked="0"/>
    </xf>
    <xf numFmtId="0" fontId="6" fillId="0" borderId="12" xfId="1" applyFont="1" applyBorder="1" applyAlignment="1">
      <alignment vertical="center"/>
    </xf>
    <xf numFmtId="166" fontId="9" fillId="0" borderId="20" xfId="1" applyNumberFormat="1" applyFont="1" applyBorder="1"/>
    <xf numFmtId="2" fontId="6" fillId="3" borderId="7" xfId="2" applyNumberFormat="1" applyFont="1" applyFill="1" applyBorder="1" applyAlignment="1" applyProtection="1">
      <protection locked="0"/>
    </xf>
    <xf numFmtId="0" fontId="6" fillId="0" borderId="39" xfId="1" applyFont="1" applyBorder="1"/>
    <xf numFmtId="1" fontId="6" fillId="4" borderId="33" xfId="2" applyNumberFormat="1" applyFont="1" applyFill="1" applyBorder="1" applyProtection="1"/>
    <xf numFmtId="1" fontId="6" fillId="3" borderId="33" xfId="2" applyNumberFormat="1" applyFont="1" applyFill="1" applyBorder="1" applyProtection="1">
      <protection locked="0"/>
    </xf>
    <xf numFmtId="1" fontId="6" fillId="3" borderId="5" xfId="2" applyNumberFormat="1" applyFont="1" applyFill="1" applyBorder="1" applyAlignment="1" applyProtection="1">
      <protection locked="0"/>
    </xf>
    <xf numFmtId="0" fontId="6" fillId="0" borderId="21" xfId="1" applyFont="1" applyBorder="1" applyProtection="1">
      <protection locked="0"/>
    </xf>
    <xf numFmtId="0" fontId="6" fillId="0" borderId="0" xfId="1" applyFont="1" applyAlignment="1" applyProtection="1">
      <alignment horizontal="right"/>
      <protection locked="0"/>
    </xf>
    <xf numFmtId="0" fontId="6" fillId="0" borderId="22" xfId="1" applyFont="1" applyBorder="1" applyProtection="1">
      <protection locked="0"/>
    </xf>
    <xf numFmtId="0" fontId="6" fillId="0" borderId="24" xfId="1" applyFont="1" applyBorder="1" applyAlignment="1">
      <alignment vertical="center"/>
    </xf>
    <xf numFmtId="0" fontId="10" fillId="0" borderId="27" xfId="1" applyFont="1" applyBorder="1" applyAlignment="1">
      <alignment vertical="center"/>
    </xf>
    <xf numFmtId="0" fontId="10" fillId="0" borderId="17" xfId="1" applyFont="1" applyBorder="1" applyAlignment="1">
      <alignment horizontal="center" vertical="center"/>
    </xf>
    <xf numFmtId="0" fontId="10" fillId="0" borderId="22" xfId="1" quotePrefix="1" applyFont="1" applyBorder="1" applyAlignment="1">
      <alignment horizontal="center" vertical="center"/>
    </xf>
    <xf numFmtId="0" fontId="10" fillId="0" borderId="40" xfId="1" applyFont="1" applyBorder="1" applyAlignment="1">
      <alignment horizontal="center"/>
    </xf>
    <xf numFmtId="0" fontId="10" fillId="0" borderId="39" xfId="1" applyFont="1" applyBorder="1" applyAlignment="1">
      <alignment horizontal="center"/>
    </xf>
    <xf numFmtId="0" fontId="6" fillId="0" borderId="12" xfId="1" applyFont="1" applyBorder="1" applyAlignment="1">
      <alignment horizontal="left" vertical="center"/>
    </xf>
    <xf numFmtId="0" fontId="10" fillId="0" borderId="41" xfId="1" applyFont="1" applyBorder="1" applyAlignment="1">
      <alignment horizontal="center"/>
    </xf>
    <xf numFmtId="0" fontId="10" fillId="0" borderId="42" xfId="1" applyFont="1" applyBorder="1" applyAlignment="1">
      <alignment horizontal="center"/>
    </xf>
    <xf numFmtId="166" fontId="6" fillId="0" borderId="0" xfId="2" applyNumberFormat="1" applyFont="1" applyBorder="1" applyProtection="1"/>
    <xf numFmtId="166" fontId="6" fillId="2" borderId="7" xfId="2" applyNumberFormat="1" applyFont="1" applyFill="1" applyBorder="1" applyProtection="1"/>
    <xf numFmtId="166" fontId="6" fillId="2" borderId="37" xfId="2" applyNumberFormat="1" applyFont="1" applyFill="1" applyBorder="1" applyProtection="1"/>
    <xf numFmtId="0" fontId="10" fillId="0" borderId="27" xfId="1" applyFont="1" applyBorder="1"/>
    <xf numFmtId="166" fontId="6" fillId="2" borderId="38" xfId="2" applyNumberFormat="1" applyFont="1" applyFill="1" applyBorder="1" applyProtection="1"/>
    <xf numFmtId="0" fontId="3" fillId="0" borderId="29" xfId="1" applyBorder="1" applyAlignment="1">
      <alignment horizontal="center"/>
    </xf>
    <xf numFmtId="0" fontId="3" fillId="0" borderId="30" xfId="1" applyBorder="1" applyAlignment="1">
      <alignment horizontal="center"/>
    </xf>
    <xf numFmtId="0" fontId="10" fillId="0" borderId="31" xfId="1" applyFont="1" applyBorder="1" applyAlignment="1">
      <alignment horizontal="center"/>
    </xf>
    <xf numFmtId="0" fontId="6" fillId="0" borderId="43" xfId="1" applyFont="1" applyBorder="1" applyProtection="1">
      <protection locked="0"/>
    </xf>
    <xf numFmtId="0" fontId="6" fillId="2" borderId="44" xfId="1" applyFont="1" applyFill="1" applyBorder="1"/>
    <xf numFmtId="0" fontId="6" fillId="3" borderId="44" xfId="1" applyFont="1" applyFill="1" applyBorder="1" applyAlignment="1" applyProtection="1">
      <alignment horizontal="right"/>
      <protection locked="0"/>
    </xf>
    <xf numFmtId="0" fontId="6" fillId="0" borderId="45" xfId="1" applyFont="1" applyBorder="1"/>
    <xf numFmtId="0" fontId="10" fillId="0" borderId="46" xfId="1" applyFont="1" applyBorder="1" applyAlignment="1">
      <alignment horizontal="center"/>
    </xf>
    <xf numFmtId="0" fontId="10" fillId="0" borderId="0" xfId="1" applyFont="1"/>
    <xf numFmtId="1" fontId="6" fillId="3" borderId="5" xfId="2" applyNumberFormat="1" applyFont="1" applyFill="1" applyBorder="1" applyProtection="1">
      <protection locked="0"/>
    </xf>
    <xf numFmtId="1" fontId="6" fillId="4" borderId="38" xfId="2" applyNumberFormat="1" applyFont="1" applyFill="1" applyBorder="1" applyProtection="1"/>
    <xf numFmtId="9" fontId="6" fillId="3" borderId="5" xfId="1" applyNumberFormat="1" applyFont="1" applyFill="1" applyBorder="1" applyProtection="1">
      <protection locked="0"/>
    </xf>
    <xf numFmtId="1" fontId="6" fillId="3" borderId="7" xfId="1" applyNumberFormat="1" applyFont="1" applyFill="1" applyBorder="1" applyProtection="1">
      <protection locked="0"/>
    </xf>
    <xf numFmtId="165" fontId="6" fillId="3" borderId="8" xfId="1" applyNumberFormat="1" applyFont="1" applyFill="1" applyBorder="1" applyProtection="1">
      <protection locked="0"/>
    </xf>
    <xf numFmtId="0" fontId="6" fillId="0" borderId="9" xfId="1" applyFont="1" applyBorder="1" applyAlignment="1">
      <alignment horizontal="left"/>
    </xf>
    <xf numFmtId="1" fontId="6" fillId="4" borderId="5" xfId="2" applyNumberFormat="1" applyFont="1" applyFill="1" applyBorder="1" applyProtection="1"/>
    <xf numFmtId="1" fontId="6" fillId="3" borderId="5" xfId="1" applyNumberFormat="1" applyFont="1" applyFill="1" applyBorder="1" applyProtection="1">
      <protection locked="0"/>
    </xf>
    <xf numFmtId="165" fontId="6" fillId="3" borderId="11" xfId="1" applyNumberFormat="1" applyFont="1" applyFill="1" applyBorder="1" applyProtection="1">
      <protection locked="0"/>
    </xf>
    <xf numFmtId="0" fontId="6" fillId="0" borderId="12" xfId="1" applyFont="1" applyBorder="1" applyAlignment="1">
      <alignment horizontal="left"/>
    </xf>
    <xf numFmtId="0" fontId="6" fillId="0" borderId="23" xfId="1" applyFont="1" applyBorder="1"/>
    <xf numFmtId="0" fontId="6" fillId="2" borderId="5" xfId="1" applyFont="1" applyFill="1" applyBorder="1"/>
    <xf numFmtId="0" fontId="6" fillId="3" borderId="14" xfId="1" applyFont="1" applyFill="1" applyBorder="1" applyProtection="1">
      <protection locked="0"/>
    </xf>
    <xf numFmtId="9" fontId="6" fillId="0" borderId="0" xfId="3" applyFont="1"/>
    <xf numFmtId="0" fontId="10" fillId="0" borderId="19" xfId="1" applyFont="1" applyBorder="1" applyAlignment="1">
      <alignment horizontal="center"/>
    </xf>
    <xf numFmtId="0" fontId="10" fillId="0" borderId="27" xfId="1" applyFont="1" applyBorder="1" applyAlignment="1">
      <alignment horizontal="center"/>
    </xf>
    <xf numFmtId="165" fontId="6" fillId="0" borderId="0" xfId="2" applyNumberFormat="1" applyFont="1" applyBorder="1" applyProtection="1"/>
    <xf numFmtId="170" fontId="6" fillId="0" borderId="0" xfId="2" applyNumberFormat="1" applyFont="1" applyBorder="1" applyAlignment="1" applyProtection="1"/>
    <xf numFmtId="165" fontId="6" fillId="3" borderId="11" xfId="2" applyNumberFormat="1" applyFont="1" applyFill="1" applyBorder="1" applyProtection="1">
      <protection locked="0"/>
    </xf>
    <xf numFmtId="1" fontId="6" fillId="3" borderId="14" xfId="3" applyNumberFormat="1" applyFont="1" applyFill="1" applyBorder="1" applyProtection="1">
      <protection locked="0"/>
    </xf>
    <xf numFmtId="165" fontId="6" fillId="3" borderId="15" xfId="3" applyNumberFormat="1" applyFont="1" applyFill="1" applyBorder="1" applyProtection="1">
      <protection locked="0"/>
    </xf>
    <xf numFmtId="0" fontId="6" fillId="0" borderId="16" xfId="1" applyFont="1" applyBorder="1" applyAlignment="1">
      <alignment horizontal="left"/>
    </xf>
    <xf numFmtId="172" fontId="6" fillId="0" borderId="0" xfId="4" applyNumberFormat="1" applyFont="1" applyFill="1" applyBorder="1" applyAlignment="1" applyProtection="1"/>
    <xf numFmtId="172" fontId="6" fillId="0" borderId="0" xfId="4" applyNumberFormat="1" applyFont="1" applyFill="1" applyBorder="1" applyProtection="1">
      <protection locked="0"/>
    </xf>
    <xf numFmtId="172" fontId="6" fillId="0" borderId="30" xfId="4" applyNumberFormat="1" applyFont="1" applyFill="1" applyBorder="1" applyProtection="1">
      <protection locked="0"/>
    </xf>
    <xf numFmtId="172" fontId="6" fillId="0" borderId="0" xfId="4" applyNumberFormat="1" applyFont="1" applyFill="1" applyBorder="1" applyAlignment="1" applyProtection="1">
      <protection locked="0"/>
    </xf>
    <xf numFmtId="0" fontId="6" fillId="0" borderId="29" xfId="1" applyFont="1" applyBorder="1" applyProtection="1">
      <protection locked="0"/>
    </xf>
    <xf numFmtId="166" fontId="6" fillId="2" borderId="44" xfId="2" applyNumberFormat="1" applyFont="1" applyFill="1" applyBorder="1" applyProtection="1"/>
    <xf numFmtId="166" fontId="6" fillId="2" borderId="48" xfId="2" applyNumberFormat="1" applyFont="1" applyFill="1" applyBorder="1" applyProtection="1"/>
    <xf numFmtId="0" fontId="6" fillId="0" borderId="31" xfId="1" applyFont="1" applyBorder="1"/>
    <xf numFmtId="172" fontId="6" fillId="0" borderId="18" xfId="4" applyNumberFormat="1" applyFont="1" applyFill="1" applyBorder="1" applyProtection="1"/>
    <xf numFmtId="172" fontId="6" fillId="0" borderId="18" xfId="4" applyNumberFormat="1" applyFont="1" applyFill="1" applyBorder="1" applyAlignment="1" applyProtection="1"/>
    <xf numFmtId="172" fontId="6" fillId="0" borderId="0" xfId="4" applyNumberFormat="1" applyFont="1" applyFill="1" applyBorder="1" applyProtection="1"/>
    <xf numFmtId="0" fontId="6" fillId="3" borderId="5" xfId="1" applyFont="1" applyFill="1" applyBorder="1" applyProtection="1">
      <protection locked="0"/>
    </xf>
    <xf numFmtId="0" fontId="6" fillId="3" borderId="5" xfId="1" applyFont="1" applyFill="1" applyBorder="1" applyAlignment="1" applyProtection="1">
      <alignment horizontal="right"/>
      <protection locked="0"/>
    </xf>
    <xf numFmtId="0" fontId="6" fillId="2" borderId="11" xfId="1" applyFont="1" applyFill="1" applyBorder="1"/>
    <xf numFmtId="0" fontId="6" fillId="2" borderId="5" xfId="1" applyFont="1" applyFill="1" applyBorder="1" applyAlignment="1">
      <alignment horizontal="center"/>
    </xf>
    <xf numFmtId="0" fontId="6" fillId="2" borderId="11" xfId="1" applyFont="1" applyFill="1" applyBorder="1" applyAlignment="1">
      <alignment horizontal="center"/>
    </xf>
    <xf numFmtId="0" fontId="10" fillId="0" borderId="50" xfId="1" applyFont="1" applyBorder="1" applyAlignment="1" applyProtection="1">
      <alignment horizontal="center"/>
      <protection locked="0"/>
    </xf>
    <xf numFmtId="0" fontId="6" fillId="2" borderId="49" xfId="1" applyFont="1" applyFill="1" applyBorder="1"/>
    <xf numFmtId="0" fontId="10" fillId="2" borderId="49" xfId="1" applyFont="1" applyFill="1" applyBorder="1" applyAlignment="1">
      <alignment horizontal="center"/>
    </xf>
    <xf numFmtId="0" fontId="6" fillId="2" borderId="51" xfId="1" applyFont="1" applyFill="1" applyBorder="1"/>
    <xf numFmtId="0" fontId="6" fillId="3" borderId="49" xfId="1" applyFont="1" applyFill="1" applyBorder="1" applyAlignment="1" applyProtection="1">
      <alignment horizontal="right"/>
      <protection locked="0"/>
    </xf>
    <xf numFmtId="0" fontId="6" fillId="0" borderId="52" xfId="1" applyFont="1" applyBorder="1"/>
    <xf numFmtId="0" fontId="10" fillId="0" borderId="13" xfId="1" applyFont="1" applyBorder="1" applyAlignment="1" applyProtection="1">
      <alignment horizontal="center"/>
      <protection locked="0"/>
    </xf>
    <xf numFmtId="0" fontId="6" fillId="2" borderId="14" xfId="1" applyFont="1" applyFill="1" applyBorder="1"/>
    <xf numFmtId="0" fontId="10" fillId="2" borderId="14" xfId="1" applyFont="1" applyFill="1" applyBorder="1" applyAlignment="1">
      <alignment horizontal="center"/>
    </xf>
    <xf numFmtId="0" fontId="6" fillId="2" borderId="15" xfId="1" applyFont="1" applyFill="1" applyBorder="1"/>
    <xf numFmtId="0" fontId="6" fillId="3" borderId="14" xfId="1" applyFont="1" applyFill="1" applyBorder="1" applyAlignment="1" applyProtection="1">
      <alignment horizontal="right"/>
      <protection locked="0"/>
    </xf>
    <xf numFmtId="0" fontId="10" fillId="2" borderId="53" xfId="1" applyFont="1" applyFill="1" applyBorder="1" applyAlignment="1">
      <alignment wrapText="1"/>
    </xf>
    <xf numFmtId="0" fontId="10" fillId="3" borderId="54" xfId="1" applyFont="1" applyFill="1" applyBorder="1" applyAlignment="1">
      <alignment wrapText="1"/>
    </xf>
    <xf numFmtId="0" fontId="10" fillId="4" borderId="55" xfId="1" applyFont="1" applyFill="1" applyBorder="1" applyAlignment="1">
      <alignment wrapText="1"/>
    </xf>
    <xf numFmtId="0" fontId="12" fillId="0" borderId="46" xfId="1" applyFont="1" applyBorder="1" applyAlignment="1">
      <alignment horizontal="center"/>
    </xf>
    <xf numFmtId="0" fontId="13" fillId="0" borderId="0" xfId="1" applyFont="1" applyAlignment="1">
      <alignment horizontal="center"/>
    </xf>
    <xf numFmtId="0" fontId="3" fillId="0" borderId="0" xfId="1"/>
    <xf numFmtId="0" fontId="4" fillId="0" borderId="57" xfId="1" applyFont="1" applyBorder="1" applyAlignment="1">
      <alignment horizontal="left" wrapText="1"/>
    </xf>
    <xf numFmtId="9" fontId="5" fillId="0" borderId="58" xfId="1" applyNumberFormat="1" applyFont="1" applyBorder="1" applyAlignment="1">
      <alignment horizontal="center" wrapText="1"/>
    </xf>
    <xf numFmtId="0" fontId="4" fillId="0" borderId="2" xfId="1" applyFont="1" applyBorder="1" applyAlignment="1">
      <alignment wrapText="1"/>
    </xf>
    <xf numFmtId="0" fontId="5" fillId="2" borderId="58" xfId="1" applyFont="1" applyFill="1" applyBorder="1" applyAlignment="1">
      <alignment horizontal="center" wrapText="1"/>
    </xf>
    <xf numFmtId="0" fontId="5" fillId="2" borderId="2" xfId="1" applyFont="1" applyFill="1" applyBorder="1" applyAlignment="1">
      <alignment wrapText="1"/>
    </xf>
    <xf numFmtId="165" fontId="5" fillId="0" borderId="58" xfId="1" applyNumberFormat="1" applyFont="1" applyBorder="1" applyAlignment="1">
      <alignment horizontal="center" wrapText="1"/>
    </xf>
    <xf numFmtId="2" fontId="5" fillId="0" borderId="58" xfId="1" applyNumberFormat="1" applyFont="1" applyBorder="1" applyAlignment="1">
      <alignment horizontal="center" wrapText="1"/>
    </xf>
    <xf numFmtId="164" fontId="3" fillId="0" borderId="4" xfId="1" applyNumberFormat="1" applyBorder="1" applyAlignment="1">
      <alignment horizontal="center"/>
    </xf>
    <xf numFmtId="0" fontId="4" fillId="0" borderId="3" xfId="1" applyFont="1" applyBorder="1" applyAlignment="1">
      <alignment wrapText="1"/>
    </xf>
    <xf numFmtId="38" fontId="5" fillId="0" borderId="58" xfId="1" applyNumberFormat="1" applyFont="1" applyBorder="1" applyAlignment="1">
      <alignment horizontal="center" wrapText="1"/>
    </xf>
    <xf numFmtId="0" fontId="3" fillId="0" borderId="58" xfId="1" applyBorder="1" applyAlignment="1">
      <alignment horizontal="center"/>
    </xf>
    <xf numFmtId="0" fontId="4" fillId="0" borderId="59" xfId="1" applyFont="1" applyBorder="1"/>
    <xf numFmtId="0" fontId="5" fillId="0" borderId="58" xfId="1" applyFont="1" applyBorder="1" applyAlignment="1">
      <alignment horizontal="center" wrapText="1"/>
    </xf>
    <xf numFmtId="0" fontId="4" fillId="0" borderId="58" xfId="1" applyFont="1" applyBorder="1" applyAlignment="1">
      <alignment horizontal="center" wrapText="1"/>
    </xf>
    <xf numFmtId="0" fontId="3" fillId="2" borderId="58" xfId="1" applyFill="1" applyBorder="1" applyAlignment="1">
      <alignment wrapText="1"/>
    </xf>
    <xf numFmtId="0" fontId="3" fillId="2" borderId="2" xfId="1" applyFill="1" applyBorder="1" applyAlignment="1">
      <alignment wrapText="1"/>
    </xf>
    <xf numFmtId="0" fontId="6" fillId="0" borderId="0" xfId="1" applyFont="1" applyAlignment="1">
      <alignment horizontal="right"/>
    </xf>
    <xf numFmtId="9" fontId="6" fillId="0" borderId="0" xfId="1" applyNumberFormat="1" applyFont="1" applyAlignment="1">
      <alignment horizontal="center"/>
    </xf>
    <xf numFmtId="38" fontId="6" fillId="4" borderId="0" xfId="1" applyNumberFormat="1" applyFont="1" applyFill="1" applyAlignment="1">
      <alignment horizontal="center"/>
    </xf>
    <xf numFmtId="0" fontId="10" fillId="0" borderId="0" xfId="1" applyFont="1" applyAlignment="1">
      <alignment horizontal="left"/>
    </xf>
    <xf numFmtId="38" fontId="6" fillId="0" borderId="0" xfId="2" applyNumberFormat="1" applyFont="1" applyFill="1" applyBorder="1" applyAlignment="1">
      <alignment horizontal="right"/>
    </xf>
    <xf numFmtId="0" fontId="13" fillId="6" borderId="0" xfId="1" applyFont="1" applyFill="1" applyAlignment="1">
      <alignment horizontal="left"/>
    </xf>
    <xf numFmtId="0" fontId="6" fillId="0" borderId="0" xfId="1" applyFont="1" applyAlignment="1">
      <alignment horizontal="center"/>
    </xf>
    <xf numFmtId="38" fontId="6" fillId="0" borderId="0" xfId="1" applyNumberFormat="1" applyFont="1" applyAlignment="1">
      <alignment horizontal="center"/>
    </xf>
    <xf numFmtId="40" fontId="6" fillId="4" borderId="0" xfId="1" applyNumberFormat="1" applyFont="1" applyFill="1" applyAlignment="1">
      <alignment horizontal="center"/>
    </xf>
    <xf numFmtId="38" fontId="10" fillId="0" borderId="0" xfId="1" applyNumberFormat="1" applyFont="1" applyAlignment="1">
      <alignment horizontal="center"/>
    </xf>
    <xf numFmtId="173" fontId="13" fillId="0" borderId="0" xfId="1" applyNumberFormat="1" applyFont="1" applyAlignment="1">
      <alignment horizontal="center"/>
    </xf>
    <xf numFmtId="165" fontId="6" fillId="4" borderId="0" xfId="1" applyNumberFormat="1" applyFont="1" applyFill="1" applyAlignment="1">
      <alignment horizontal="center"/>
    </xf>
    <xf numFmtId="9" fontId="6" fillId="4" borderId="0" xfId="1" applyNumberFormat="1" applyFont="1" applyFill="1" applyAlignment="1">
      <alignment horizontal="center"/>
    </xf>
    <xf numFmtId="9" fontId="6" fillId="4" borderId="0" xfId="2" applyNumberFormat="1" applyFont="1" applyFill="1" applyBorder="1" applyAlignment="1">
      <alignment horizontal="center"/>
    </xf>
    <xf numFmtId="165" fontId="6" fillId="4" borderId="0" xfId="3" applyNumberFormat="1" applyFont="1" applyFill="1" applyBorder="1" applyAlignment="1">
      <alignment horizontal="center"/>
    </xf>
    <xf numFmtId="166" fontId="10" fillId="0" borderId="0" xfId="2" applyNumberFormat="1" applyFont="1" applyFill="1" applyBorder="1" applyAlignment="1">
      <alignment horizontal="center"/>
    </xf>
    <xf numFmtId="37" fontId="16" fillId="0" borderId="0" xfId="1" applyNumberFormat="1" applyFont="1" applyAlignment="1">
      <alignment horizontal="center"/>
    </xf>
    <xf numFmtId="37" fontId="10" fillId="0" borderId="0" xfId="1" applyNumberFormat="1" applyFont="1" applyAlignment="1">
      <alignment horizontal="center"/>
    </xf>
    <xf numFmtId="38" fontId="10" fillId="0" borderId="0" xfId="2" applyNumberFormat="1" applyFont="1" applyFill="1" applyBorder="1" applyAlignment="1">
      <alignment horizontal="center"/>
    </xf>
    <xf numFmtId="38" fontId="16" fillId="0" borderId="0" xfId="1" applyNumberFormat="1" applyFont="1" applyAlignment="1">
      <alignment horizontal="center"/>
    </xf>
    <xf numFmtId="38" fontId="6" fillId="0" borderId="0" xfId="2" applyNumberFormat="1" applyFont="1" applyFill="1" applyBorder="1" applyAlignment="1">
      <alignment horizontal="center"/>
    </xf>
    <xf numFmtId="38" fontId="10" fillId="0" borderId="38" xfId="1" applyNumberFormat="1" applyFont="1" applyBorder="1" applyAlignment="1">
      <alignment horizontal="center"/>
    </xf>
    <xf numFmtId="38" fontId="10" fillId="0" borderId="61" xfId="1" applyNumberFormat="1" applyFont="1" applyBorder="1" applyAlignment="1">
      <alignment horizontal="center"/>
    </xf>
    <xf numFmtId="0" fontId="10" fillId="0" borderId="38" xfId="1" applyFont="1" applyBorder="1" applyAlignment="1">
      <alignment horizontal="right"/>
    </xf>
    <xf numFmtId="38" fontId="6" fillId="0" borderId="38" xfId="2" applyNumberFormat="1" applyFont="1" applyFill="1" applyBorder="1" applyAlignment="1">
      <alignment horizontal="center"/>
    </xf>
    <xf numFmtId="0" fontId="10" fillId="0" borderId="38" xfId="1" applyFont="1" applyBorder="1" applyAlignment="1">
      <alignment horizontal="left"/>
    </xf>
    <xf numFmtId="38" fontId="10" fillId="0" borderId="38" xfId="2" applyNumberFormat="1" applyFont="1" applyFill="1" applyBorder="1" applyAlignment="1">
      <alignment horizontal="center"/>
    </xf>
    <xf numFmtId="0" fontId="6" fillId="0" borderId="38" xfId="1" applyFont="1" applyBorder="1"/>
    <xf numFmtId="0" fontId="13" fillId="5" borderId="0" xfId="1" applyFont="1" applyFill="1" applyAlignment="1">
      <alignment horizontal="left"/>
    </xf>
    <xf numFmtId="0" fontId="10" fillId="0" borderId="0" xfId="1" applyFont="1" applyAlignment="1">
      <alignment horizontal="right"/>
    </xf>
    <xf numFmtId="38" fontId="10" fillId="0" borderId="37" xfId="2" applyNumberFormat="1" applyFont="1" applyFill="1" applyBorder="1" applyAlignment="1">
      <alignment horizontal="center"/>
    </xf>
    <xf numFmtId="38" fontId="6" fillId="0" borderId="38" xfId="1" applyNumberFormat="1" applyFont="1" applyBorder="1" applyAlignment="1">
      <alignment horizontal="center"/>
    </xf>
    <xf numFmtId="168" fontId="10" fillId="0" borderId="0" xfId="1" applyNumberFormat="1" applyFont="1" applyAlignment="1">
      <alignment horizontal="right" indent="1"/>
    </xf>
    <xf numFmtId="38" fontId="10" fillId="0" borderId="18" xfId="1" applyNumberFormat="1" applyFont="1" applyBorder="1" applyAlignment="1">
      <alignment horizontal="center"/>
    </xf>
    <xf numFmtId="168" fontId="10" fillId="0" borderId="0" xfId="1" applyNumberFormat="1" applyFont="1" applyAlignment="1">
      <alignment horizontal="right"/>
    </xf>
    <xf numFmtId="0" fontId="10" fillId="0" borderId="62" xfId="1" applyFont="1" applyBorder="1" applyAlignment="1">
      <alignment horizontal="right"/>
    </xf>
    <xf numFmtId="0" fontId="10" fillId="0" borderId="38" xfId="1" applyFont="1" applyBorder="1"/>
    <xf numFmtId="38" fontId="10" fillId="0" borderId="61" xfId="2" applyNumberFormat="1" applyFont="1" applyFill="1" applyBorder="1" applyAlignment="1">
      <alignment horizontal="center"/>
    </xf>
    <xf numFmtId="0" fontId="10" fillId="0" borderId="61" xfId="1" applyFont="1" applyBorder="1" applyAlignment="1">
      <alignment horizontal="left"/>
    </xf>
    <xf numFmtId="3" fontId="6" fillId="0" borderId="0" xfId="2" applyNumberFormat="1" applyFont="1" applyBorder="1" applyAlignment="1">
      <alignment horizontal="center"/>
    </xf>
    <xf numFmtId="38" fontId="6" fillId="0" borderId="0" xfId="2" applyNumberFormat="1" applyFont="1" applyBorder="1" applyAlignment="1">
      <alignment horizontal="center"/>
    </xf>
    <xf numFmtId="38" fontId="13" fillId="0" borderId="0" xfId="1" applyNumberFormat="1" applyFont="1" applyAlignment="1">
      <alignment horizontal="center"/>
    </xf>
    <xf numFmtId="38" fontId="10" fillId="0" borderId="0" xfId="2" applyNumberFormat="1" applyFont="1" applyBorder="1" applyAlignment="1">
      <alignment horizontal="center"/>
    </xf>
    <xf numFmtId="38" fontId="10" fillId="0" borderId="0" xfId="1" quotePrefix="1" applyNumberFormat="1" applyFont="1" applyAlignment="1">
      <alignment horizontal="center"/>
    </xf>
    <xf numFmtId="0" fontId="10" fillId="0" borderId="0" xfId="1" quotePrefix="1" applyFont="1" applyAlignment="1">
      <alignment horizontal="left"/>
    </xf>
    <xf numFmtId="38" fontId="6" fillId="0" borderId="62" xfId="2" applyNumberFormat="1" applyFont="1" applyFill="1" applyBorder="1" applyAlignment="1">
      <alignment horizontal="center"/>
    </xf>
    <xf numFmtId="174" fontId="6" fillId="0" borderId="38" xfId="2" applyNumberFormat="1" applyFont="1" applyBorder="1" applyAlignment="1">
      <alignment horizontal="center"/>
    </xf>
    <xf numFmtId="38" fontId="16" fillId="0" borderId="0" xfId="2" applyNumberFormat="1" applyFont="1" applyFill="1" applyBorder="1" applyAlignment="1">
      <alignment horizontal="center"/>
    </xf>
    <xf numFmtId="38" fontId="16" fillId="0" borderId="0" xfId="2" applyNumberFormat="1" applyFont="1" applyBorder="1" applyAlignment="1">
      <alignment horizontal="center"/>
    </xf>
    <xf numFmtId="0" fontId="16" fillId="0" borderId="0" xfId="1" applyFont="1" applyAlignment="1">
      <alignment horizontal="center"/>
    </xf>
    <xf numFmtId="0" fontId="6" fillId="0" borderId="0" xfId="1" applyFont="1" applyAlignment="1">
      <alignment horizontal="left"/>
    </xf>
    <xf numFmtId="0" fontId="13" fillId="7" borderId="0" xfId="1" applyFont="1" applyFill="1" applyAlignment="1">
      <alignment horizontal="center"/>
    </xf>
    <xf numFmtId="0" fontId="13" fillId="5" borderId="0" xfId="1" applyFont="1" applyFill="1" applyAlignment="1">
      <alignment horizontal="center"/>
    </xf>
    <xf numFmtId="0" fontId="14" fillId="5" borderId="0" xfId="1" applyFont="1" applyFill="1" applyAlignment="1">
      <alignment horizontal="right"/>
    </xf>
    <xf numFmtId="3" fontId="6" fillId="0" borderId="0" xfId="1" applyNumberFormat="1" applyFont="1"/>
    <xf numFmtId="0" fontId="5" fillId="0" borderId="0" xfId="5" applyFont="1"/>
    <xf numFmtId="0" fontId="5" fillId="0" borderId="18" xfId="5" applyFont="1" applyBorder="1"/>
    <xf numFmtId="0" fontId="5" fillId="0" borderId="19" xfId="5" applyFont="1" applyBorder="1"/>
    <xf numFmtId="0" fontId="4" fillId="0" borderId="22" xfId="5" applyFont="1" applyBorder="1" applyAlignment="1">
      <alignment horizontal="right"/>
    </xf>
    <xf numFmtId="3" fontId="5" fillId="0" borderId="10" xfId="5" applyNumberFormat="1" applyFont="1" applyBorder="1" applyAlignment="1">
      <alignment horizontal="center"/>
    </xf>
    <xf numFmtId="0" fontId="5" fillId="0" borderId="0" xfId="5" applyFont="1" applyAlignment="1">
      <alignment horizontal="center"/>
    </xf>
    <xf numFmtId="3" fontId="18" fillId="0" borderId="0" xfId="2" applyNumberFormat="1" applyFont="1" applyBorder="1" applyAlignment="1" applyProtection="1">
      <alignment horizontal="center"/>
    </xf>
    <xf numFmtId="0" fontId="19" fillId="0" borderId="27" xfId="5" applyFont="1" applyBorder="1"/>
    <xf numFmtId="0" fontId="5" fillId="0" borderId="17" xfId="5" applyFont="1" applyBorder="1"/>
    <xf numFmtId="0" fontId="5" fillId="0" borderId="18" xfId="5" applyFont="1" applyBorder="1" applyAlignment="1">
      <alignment horizontal="center"/>
    </xf>
    <xf numFmtId="0" fontId="5" fillId="0" borderId="21" xfId="5" applyFont="1" applyBorder="1"/>
    <xf numFmtId="3" fontId="5" fillId="0" borderId="38" xfId="5" applyNumberFormat="1" applyFont="1" applyBorder="1" applyAlignment="1">
      <alignment horizontal="center"/>
    </xf>
    <xf numFmtId="0" fontId="5" fillId="0" borderId="0" xfId="5" applyFont="1" applyProtection="1">
      <protection locked="0"/>
    </xf>
    <xf numFmtId="0" fontId="5" fillId="0" borderId="24" xfId="5" applyFont="1" applyBorder="1"/>
    <xf numFmtId="0" fontId="5" fillId="0" borderId="26" xfId="5" applyFont="1" applyBorder="1" applyAlignment="1">
      <alignment horizontal="center"/>
    </xf>
    <xf numFmtId="3" fontId="5" fillId="0" borderId="0" xfId="5" applyNumberFormat="1" applyFont="1"/>
    <xf numFmtId="0" fontId="4" fillId="0" borderId="12" xfId="5" applyFont="1" applyBorder="1" applyAlignment="1">
      <alignment horizontal="right"/>
    </xf>
    <xf numFmtId="3" fontId="5" fillId="0" borderId="50" xfId="5" applyNumberFormat="1" applyFont="1" applyBorder="1" applyAlignment="1">
      <alignment horizontal="center"/>
    </xf>
    <xf numFmtId="3" fontId="5" fillId="0" borderId="61" xfId="5" applyNumberFormat="1" applyFont="1" applyBorder="1" applyAlignment="1">
      <alignment horizontal="center"/>
    </xf>
    <xf numFmtId="0" fontId="4" fillId="0" borderId="52" xfId="5" applyFont="1" applyBorder="1" applyAlignment="1">
      <alignment horizontal="right"/>
    </xf>
    <xf numFmtId="0" fontId="20" fillId="0" borderId="21" xfId="1" applyFont="1" applyBorder="1" applyAlignment="1">
      <alignment horizontal="center"/>
    </xf>
    <xf numFmtId="0" fontId="20" fillId="0" borderId="0" xfId="1" applyFont="1" applyAlignment="1">
      <alignment horizontal="center"/>
    </xf>
    <xf numFmtId="0" fontId="5" fillId="0" borderId="26" xfId="5" applyFont="1" applyBorder="1"/>
    <xf numFmtId="0" fontId="3" fillId="0" borderId="0" xfId="1" applyAlignment="1">
      <alignment horizontal="center" vertical="center"/>
    </xf>
    <xf numFmtId="0" fontId="7" fillId="0" borderId="26" xfId="1" applyFont="1" applyBorder="1" applyAlignment="1">
      <alignment horizontal="center" vertical="center"/>
    </xf>
    <xf numFmtId="0" fontId="4" fillId="0" borderId="22" xfId="1" applyFont="1" applyBorder="1" applyAlignment="1">
      <alignment horizontal="right"/>
    </xf>
    <xf numFmtId="1" fontId="5" fillId="0" borderId="0" xfId="5" applyNumberFormat="1" applyFont="1"/>
    <xf numFmtId="0" fontId="5" fillId="0" borderId="22" xfId="5" applyFont="1" applyBorder="1"/>
    <xf numFmtId="175" fontId="6" fillId="3" borderId="44" xfId="2" applyNumberFormat="1" applyFont="1" applyFill="1" applyBorder="1" applyAlignment="1" applyProtection="1">
      <protection locked="0"/>
    </xf>
    <xf numFmtId="175" fontId="6" fillId="3" borderId="14" xfId="2" applyNumberFormat="1" applyFont="1" applyFill="1" applyBorder="1" applyAlignment="1" applyProtection="1">
      <protection locked="0"/>
    </xf>
    <xf numFmtId="175" fontId="6" fillId="3" borderId="7" xfId="2" applyNumberFormat="1" applyFont="1" applyFill="1" applyBorder="1" applyAlignment="1" applyProtection="1">
      <protection locked="0"/>
    </xf>
    <xf numFmtId="175" fontId="6" fillId="3" borderId="5" xfId="1" applyNumberFormat="1" applyFont="1" applyFill="1" applyBorder="1" applyProtection="1">
      <protection locked="0"/>
    </xf>
    <xf numFmtId="175" fontId="6" fillId="3" borderId="5" xfId="2" applyNumberFormat="1" applyFont="1" applyFill="1" applyBorder="1" applyAlignment="1" applyProtection="1">
      <protection locked="0"/>
    </xf>
    <xf numFmtId="175" fontId="6" fillId="4" borderId="7" xfId="2" applyNumberFormat="1" applyFont="1" applyFill="1" applyBorder="1" applyAlignment="1" applyProtection="1"/>
    <xf numFmtId="175" fontId="6" fillId="4" borderId="14" xfId="2" applyNumberFormat="1" applyFont="1" applyFill="1" applyBorder="1" applyAlignment="1" applyProtection="1"/>
    <xf numFmtId="175" fontId="6" fillId="4" borderId="5" xfId="2" applyNumberFormat="1" applyFont="1" applyFill="1" applyBorder="1" applyAlignment="1" applyProtection="1"/>
    <xf numFmtId="175" fontId="5" fillId="0" borderId="58" xfId="1" applyNumberFormat="1" applyFont="1" applyBorder="1" applyAlignment="1">
      <alignment horizontal="center" wrapText="1"/>
    </xf>
    <xf numFmtId="175" fontId="3" fillId="0" borderId="4" xfId="1" applyNumberFormat="1" applyBorder="1" applyAlignment="1">
      <alignment horizontal="center"/>
    </xf>
    <xf numFmtId="175" fontId="5" fillId="0" borderId="56" xfId="1" applyNumberFormat="1" applyFont="1" applyBorder="1" applyAlignment="1">
      <alignment horizontal="center" wrapText="1"/>
    </xf>
    <xf numFmtId="38" fontId="7" fillId="0" borderId="0" xfId="1" applyNumberFormat="1" applyFont="1" applyAlignment="1">
      <alignment horizontal="left" wrapText="1"/>
    </xf>
    <xf numFmtId="175" fontId="6" fillId="3" borderId="44" xfId="1" applyNumberFormat="1" applyFont="1" applyFill="1" applyBorder="1" applyProtection="1">
      <protection locked="0"/>
    </xf>
    <xf numFmtId="9" fontId="6" fillId="3" borderId="48" xfId="1" applyNumberFormat="1" applyFont="1" applyFill="1" applyBorder="1" applyProtection="1">
      <protection locked="0"/>
    </xf>
    <xf numFmtId="0" fontId="6" fillId="3" borderId="44" xfId="1" applyFont="1" applyFill="1" applyBorder="1" applyProtection="1">
      <protection locked="0"/>
    </xf>
    <xf numFmtId="166" fontId="6" fillId="0" borderId="0" xfId="2" applyNumberFormat="1" applyFont="1" applyFill="1" applyBorder="1" applyProtection="1"/>
    <xf numFmtId="175" fontId="6" fillId="3" borderId="23" xfId="1" applyNumberFormat="1" applyFont="1" applyFill="1" applyBorder="1" applyAlignment="1" applyProtection="1">
      <alignment horizontal="right"/>
      <protection locked="0"/>
    </xf>
    <xf numFmtId="175" fontId="6" fillId="3" borderId="23" xfId="1" applyNumberFormat="1" applyFont="1" applyFill="1" applyBorder="1" applyProtection="1">
      <protection locked="0"/>
    </xf>
    <xf numFmtId="175" fontId="6" fillId="3" borderId="20" xfId="1" applyNumberFormat="1" applyFont="1" applyFill="1" applyBorder="1" applyProtection="1">
      <protection locked="0"/>
    </xf>
    <xf numFmtId="0" fontId="10" fillId="0" borderId="0" xfId="1" applyFont="1" applyFill="1" applyBorder="1" applyAlignment="1">
      <alignment horizontal="center" wrapText="1"/>
    </xf>
    <xf numFmtId="0" fontId="11" fillId="0" borderId="0" xfId="1" applyFont="1" applyFill="1" applyBorder="1" applyAlignment="1">
      <alignment vertical="center" wrapText="1"/>
    </xf>
    <xf numFmtId="0" fontId="3" fillId="0" borderId="0" xfId="1" applyFill="1" applyBorder="1" applyAlignment="1">
      <alignment vertical="center" wrapText="1"/>
    </xf>
    <xf numFmtId="175" fontId="6" fillId="4" borderId="0" xfId="2" applyNumberFormat="1" applyFont="1" applyFill="1" applyBorder="1" applyAlignment="1">
      <alignment horizontal="center"/>
    </xf>
    <xf numFmtId="175" fontId="6" fillId="4" borderId="0" xfId="1" applyNumberFormat="1" applyFont="1" applyFill="1" applyAlignment="1">
      <alignment horizontal="center"/>
    </xf>
    <xf numFmtId="0" fontId="6" fillId="4" borderId="5" xfId="1" applyFont="1" applyFill="1" applyBorder="1" applyProtection="1"/>
    <xf numFmtId="0" fontId="6" fillId="4" borderId="23" xfId="1" applyFont="1" applyFill="1" applyBorder="1" applyAlignment="1" applyProtection="1">
      <alignment horizontal="right"/>
    </xf>
    <xf numFmtId="175" fontId="10" fillId="4" borderId="23" xfId="1" applyNumberFormat="1" applyFont="1" applyFill="1" applyBorder="1" applyAlignment="1" applyProtection="1">
      <alignment horizontal="right" vertical="center"/>
    </xf>
    <xf numFmtId="175" fontId="10" fillId="4" borderId="36" xfId="1" applyNumberFormat="1" applyFont="1" applyFill="1" applyBorder="1" applyProtection="1"/>
    <xf numFmtId="0" fontId="6" fillId="0" borderId="0" xfId="1" applyFont="1" applyBorder="1"/>
    <xf numFmtId="1" fontId="6" fillId="3" borderId="44" xfId="2" applyNumberFormat="1" applyFont="1" applyFill="1" applyBorder="1" applyAlignment="1" applyProtection="1">
      <protection locked="0"/>
    </xf>
    <xf numFmtId="166" fontId="6" fillId="0" borderId="0" xfId="2" applyNumberFormat="1" applyFont="1" applyFill="1" applyBorder="1" applyAlignment="1" applyProtection="1"/>
    <xf numFmtId="0" fontId="6" fillId="9" borderId="5" xfId="1" applyFont="1" applyFill="1" applyBorder="1" applyProtection="1"/>
    <xf numFmtId="0" fontId="10" fillId="0" borderId="47" xfId="1" applyFont="1" applyBorder="1" applyAlignment="1">
      <alignment vertical="center"/>
    </xf>
    <xf numFmtId="0" fontId="6" fillId="0" borderId="28" xfId="1" applyFont="1" applyBorder="1" applyAlignment="1">
      <alignment vertical="center"/>
    </xf>
    <xf numFmtId="0" fontId="6" fillId="0" borderId="64" xfId="1" applyFont="1" applyBorder="1" applyAlignment="1">
      <alignment vertical="center"/>
    </xf>
    <xf numFmtId="0" fontId="6" fillId="0" borderId="45" xfId="1" applyFont="1" applyBorder="1" applyAlignment="1">
      <alignment vertical="center"/>
    </xf>
    <xf numFmtId="0" fontId="6" fillId="0" borderId="63" xfId="1" applyFont="1" applyFill="1" applyBorder="1" applyProtection="1"/>
    <xf numFmtId="0" fontId="0" fillId="0" borderId="5" xfId="0" applyBorder="1" applyAlignment="1">
      <alignment vertical="center" wrapText="1"/>
    </xf>
    <xf numFmtId="0" fontId="21" fillId="0" borderId="47" xfId="0" applyFont="1" applyBorder="1" applyAlignment="1">
      <alignment horizontal="center" vertical="center"/>
    </xf>
    <xf numFmtId="0" fontId="0" fillId="0" borderId="14" xfId="0" applyBorder="1" applyAlignment="1">
      <alignment vertical="center" wrapText="1"/>
    </xf>
    <xf numFmtId="0" fontId="0" fillId="0" borderId="63" xfId="0" applyBorder="1" applyAlignment="1">
      <alignment vertical="center" wrapText="1"/>
    </xf>
    <xf numFmtId="0" fontId="21" fillId="0" borderId="28" xfId="0" applyFont="1" applyBorder="1" applyAlignment="1">
      <alignment horizontal="center" vertical="center"/>
    </xf>
    <xf numFmtId="0" fontId="21" fillId="0" borderId="25" xfId="0" applyFont="1" applyBorder="1" applyAlignment="1">
      <alignment horizontal="center" vertical="center"/>
    </xf>
    <xf numFmtId="0" fontId="0" fillId="0" borderId="7" xfId="0" applyBorder="1" applyAlignment="1">
      <alignment vertical="center" wrapText="1"/>
    </xf>
    <xf numFmtId="0" fontId="0" fillId="0" borderId="20" xfId="0" applyBorder="1" applyAlignment="1">
      <alignment vertical="center" wrapText="1"/>
    </xf>
    <xf numFmtId="0" fontId="0" fillId="0" borderId="47" xfId="0" applyBorder="1"/>
    <xf numFmtId="0" fontId="1" fillId="0" borderId="14" xfId="0" applyFont="1" applyBorder="1" applyAlignment="1"/>
    <xf numFmtId="0" fontId="1" fillId="0" borderId="63" xfId="0" applyFont="1" applyBorder="1" applyAlignment="1"/>
    <xf numFmtId="0" fontId="1" fillId="0" borderId="25" xfId="0" applyFont="1" applyBorder="1"/>
    <xf numFmtId="0" fontId="1" fillId="0" borderId="7" xfId="0" applyFont="1" applyBorder="1"/>
    <xf numFmtId="0" fontId="1" fillId="0" borderId="20" xfId="0" applyFont="1" applyBorder="1"/>
    <xf numFmtId="0" fontId="0" fillId="0" borderId="23" xfId="0" applyBorder="1" applyAlignment="1">
      <alignment vertical="center" wrapText="1"/>
    </xf>
    <xf numFmtId="0" fontId="1" fillId="0" borderId="63" xfId="0" applyFont="1" applyBorder="1" applyAlignment="1">
      <alignment horizontal="center" vertical="center" wrapText="1"/>
    </xf>
    <xf numFmtId="2" fontId="5" fillId="0" borderId="56" xfId="1" applyNumberFormat="1" applyFont="1" applyBorder="1" applyAlignment="1">
      <alignment horizontal="center" wrapText="1"/>
    </xf>
    <xf numFmtId="1" fontId="6" fillId="10" borderId="23" xfId="1" applyNumberFormat="1" applyFont="1" applyFill="1" applyBorder="1" applyAlignment="1" applyProtection="1">
      <alignment horizontal="right" vertical="center"/>
      <protection locked="0"/>
    </xf>
    <xf numFmtId="1" fontId="6" fillId="10" borderId="65" xfId="1" applyNumberFormat="1" applyFont="1" applyFill="1" applyBorder="1" applyAlignment="1" applyProtection="1">
      <alignment horizontal="right" vertical="center"/>
      <protection locked="0"/>
    </xf>
    <xf numFmtId="176" fontId="6" fillId="9" borderId="43" xfId="1" applyNumberFormat="1" applyFont="1" applyFill="1" applyBorder="1"/>
    <xf numFmtId="0" fontId="1" fillId="0" borderId="47" xfId="0" applyFont="1" applyBorder="1" applyAlignment="1">
      <alignment horizontal="center" vertical="center" wrapText="1"/>
    </xf>
    <xf numFmtId="0" fontId="1" fillId="0" borderId="14" xfId="0" applyFont="1" applyBorder="1" applyAlignment="1">
      <alignment horizontal="center" vertical="center" wrapText="1"/>
    </xf>
    <xf numFmtId="0" fontId="0" fillId="8" borderId="28" xfId="0" applyFill="1" applyBorder="1"/>
    <xf numFmtId="1" fontId="0" fillId="8" borderId="5" xfId="0" applyNumberFormat="1" applyFill="1" applyBorder="1"/>
    <xf numFmtId="1" fontId="0" fillId="8" borderId="23" xfId="0" applyNumberFormat="1" applyFill="1" applyBorder="1"/>
    <xf numFmtId="0" fontId="0" fillId="10" borderId="28" xfId="0" applyFill="1" applyBorder="1" applyProtection="1">
      <protection locked="0"/>
    </xf>
    <xf numFmtId="0" fontId="0" fillId="10" borderId="5" xfId="0" applyFill="1" applyBorder="1" applyProtection="1">
      <protection locked="0"/>
    </xf>
    <xf numFmtId="0" fontId="0" fillId="10" borderId="23" xfId="0" applyFill="1" applyBorder="1" applyProtection="1">
      <protection locked="0"/>
    </xf>
    <xf numFmtId="0" fontId="0" fillId="10" borderId="25" xfId="0" applyFill="1" applyBorder="1" applyProtection="1">
      <protection locked="0"/>
    </xf>
    <xf numFmtId="0" fontId="0" fillId="10" borderId="7" xfId="0" applyFill="1" applyBorder="1" applyProtection="1">
      <protection locked="0"/>
    </xf>
    <xf numFmtId="0" fontId="0" fillId="10" borderId="20" xfId="0" applyFill="1" applyBorder="1" applyProtection="1">
      <protection locked="0"/>
    </xf>
    <xf numFmtId="1" fontId="6" fillId="9" borderId="5" xfId="1" applyNumberFormat="1" applyFont="1" applyFill="1" applyBorder="1"/>
    <xf numFmtId="1" fontId="6" fillId="9" borderId="7" xfId="1" applyNumberFormat="1" applyFont="1" applyFill="1" applyBorder="1"/>
    <xf numFmtId="175" fontId="0" fillId="8" borderId="5" xfId="0" applyNumberFormat="1" applyFill="1" applyBorder="1"/>
    <xf numFmtId="175" fontId="0" fillId="10" borderId="5" xfId="0" applyNumberFormat="1" applyFill="1" applyBorder="1" applyProtection="1">
      <protection locked="0"/>
    </xf>
    <xf numFmtId="175" fontId="0" fillId="10" borderId="7" xfId="0" applyNumberFormat="1" applyFill="1" applyBorder="1" applyProtection="1">
      <protection locked="0"/>
    </xf>
    <xf numFmtId="2" fontId="0" fillId="8" borderId="5" xfId="0" applyNumberFormat="1" applyFill="1" applyBorder="1"/>
    <xf numFmtId="2" fontId="0" fillId="10" borderId="5" xfId="0" applyNumberFormat="1" applyFill="1" applyBorder="1" applyProtection="1">
      <protection locked="0"/>
    </xf>
    <xf numFmtId="2" fontId="0" fillId="10" borderId="7" xfId="0" applyNumberFormat="1" applyFill="1" applyBorder="1" applyProtection="1">
      <protection locked="0"/>
    </xf>
    <xf numFmtId="175" fontId="0" fillId="8" borderId="23" xfId="0" applyNumberFormat="1" applyFill="1" applyBorder="1"/>
    <xf numFmtId="175" fontId="0" fillId="10" borderId="23" xfId="0" applyNumberFormat="1" applyFill="1" applyBorder="1" applyProtection="1">
      <protection locked="0"/>
    </xf>
    <xf numFmtId="175" fontId="0" fillId="10" borderId="20" xfId="0" applyNumberFormat="1" applyFill="1" applyBorder="1" applyProtection="1">
      <protection locked="0"/>
    </xf>
    <xf numFmtId="9" fontId="6" fillId="3" borderId="5" xfId="3" applyFont="1" applyFill="1" applyBorder="1" applyProtection="1">
      <protection locked="0"/>
    </xf>
    <xf numFmtId="1" fontId="6" fillId="3" borderId="5" xfId="3" applyNumberFormat="1" applyFont="1" applyFill="1" applyBorder="1" applyProtection="1">
      <protection locked="0"/>
    </xf>
    <xf numFmtId="0" fontId="6" fillId="11" borderId="7" xfId="1" applyFont="1" applyFill="1" applyBorder="1"/>
    <xf numFmtId="177" fontId="6" fillId="3" borderId="5" xfId="3" applyNumberFormat="1" applyFont="1" applyFill="1" applyBorder="1" applyAlignment="1" applyProtection="1">
      <protection locked="0"/>
    </xf>
    <xf numFmtId="9" fontId="6" fillId="3" borderId="7" xfId="3" applyFont="1" applyFill="1" applyBorder="1" applyAlignment="1" applyProtection="1">
      <protection locked="0"/>
    </xf>
    <xf numFmtId="0" fontId="6" fillId="0" borderId="47" xfId="1" applyFont="1" applyBorder="1"/>
    <xf numFmtId="165" fontId="6" fillId="3" borderId="15" xfId="2" applyNumberFormat="1" applyFont="1" applyFill="1" applyBorder="1" applyProtection="1">
      <protection locked="0"/>
    </xf>
    <xf numFmtId="1" fontId="6" fillId="10" borderId="14" xfId="2" applyNumberFormat="1" applyFont="1" applyFill="1" applyBorder="1" applyProtection="1"/>
    <xf numFmtId="1" fontId="6" fillId="3" borderId="14" xfId="2" applyNumberFormat="1" applyFont="1" applyFill="1" applyBorder="1" applyProtection="1">
      <protection locked="0"/>
    </xf>
    <xf numFmtId="0" fontId="6" fillId="0" borderId="66" xfId="1" applyFont="1" applyBorder="1"/>
    <xf numFmtId="175" fontId="6" fillId="3" borderId="67" xfId="2" applyNumberFormat="1" applyFont="1" applyFill="1" applyBorder="1" applyAlignment="1" applyProtection="1">
      <protection locked="0"/>
    </xf>
    <xf numFmtId="165" fontId="6" fillId="3" borderId="68" xfId="2" applyNumberFormat="1" applyFont="1" applyFill="1" applyBorder="1" applyProtection="1">
      <protection locked="0"/>
    </xf>
    <xf numFmtId="1" fontId="6" fillId="10" borderId="67" xfId="2" applyNumberFormat="1" applyFont="1" applyFill="1" applyBorder="1" applyProtection="1"/>
    <xf numFmtId="1" fontId="6" fillId="3" borderId="67" xfId="2" applyNumberFormat="1" applyFont="1" applyFill="1" applyBorder="1" applyProtection="1">
      <protection locked="0"/>
    </xf>
    <xf numFmtId="165" fontId="6" fillId="3" borderId="8" xfId="2" applyNumberFormat="1" applyFont="1" applyFill="1" applyBorder="1" applyProtection="1">
      <protection locked="0"/>
    </xf>
    <xf numFmtId="1" fontId="6" fillId="3" borderId="7" xfId="2" applyNumberFormat="1" applyFont="1" applyFill="1" applyBorder="1" applyProtection="1">
      <protection locked="0"/>
    </xf>
    <xf numFmtId="0" fontId="10" fillId="0" borderId="47" xfId="1" applyFont="1" applyBorder="1"/>
    <xf numFmtId="178" fontId="6" fillId="0" borderId="38" xfId="2" applyNumberFormat="1" applyFont="1" applyFill="1" applyBorder="1" applyAlignment="1">
      <alignment horizontal="center"/>
    </xf>
    <xf numFmtId="38" fontId="10" fillId="0" borderId="37" xfId="2" applyNumberFormat="1" applyFont="1" applyBorder="1" applyAlignment="1">
      <alignment horizontal="center"/>
    </xf>
    <xf numFmtId="176" fontId="6" fillId="0" borderId="0" xfId="1" applyNumberFormat="1" applyFont="1"/>
    <xf numFmtId="0" fontId="14" fillId="5" borderId="27" xfId="1" applyFont="1" applyFill="1" applyBorder="1" applyAlignment="1">
      <alignment horizontal="left"/>
    </xf>
    <xf numFmtId="0" fontId="14" fillId="5" borderId="26" xfId="1" applyFont="1" applyFill="1" applyBorder="1" applyAlignment="1">
      <alignment horizontal="left"/>
    </xf>
    <xf numFmtId="0" fontId="5" fillId="2" borderId="27" xfId="1" applyFont="1" applyFill="1"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14" fillId="5" borderId="1" xfId="1" applyFont="1" applyFill="1" applyBorder="1" applyAlignment="1">
      <alignment horizontal="left"/>
    </xf>
    <xf numFmtId="0" fontId="14" fillId="5" borderId="60" xfId="1" applyFont="1" applyFill="1" applyBorder="1" applyAlignment="1">
      <alignment horizontal="left"/>
    </xf>
    <xf numFmtId="0" fontId="14" fillId="5" borderId="0" xfId="1" applyFont="1" applyFill="1" applyAlignment="1"/>
    <xf numFmtId="0" fontId="0" fillId="0" borderId="0" xfId="0" applyAlignment="1"/>
  </cellXfs>
  <cellStyles count="6">
    <cellStyle name="Comma 2" xfId="4" xr:uid="{00000000-0005-0000-0000-000000000000}"/>
    <cellStyle name="Currency 2" xfId="2" xr:uid="{00000000-0005-0000-0000-000001000000}"/>
    <cellStyle name="Normal 2" xfId="1" xr:uid="{00000000-0005-0000-0000-000002000000}"/>
    <cellStyle name="Normal_depreciation 5yr MACRS GDS" xfId="5" xr:uid="{00000000-0005-0000-0000-000003000000}"/>
    <cellStyle name="Per cent 2" xfId="3" xr:uid="{00000000-0005-0000-0000-000004000000}"/>
    <cellStyle name="Standard" xfId="0" builtinId="0"/>
  </cellStyles>
  <dxfs count="2">
    <dxf>
      <font>
        <b/>
        <i val="0"/>
        <condense val="0"/>
        <extend val="0"/>
      </font>
      <fill>
        <patternFill>
          <bgColor indexed="10"/>
        </patternFill>
      </fill>
    </dxf>
    <dxf>
      <font>
        <b/>
        <i val="0"/>
        <condense val="0"/>
        <extend val="0"/>
      </font>
      <fill>
        <patternFill>
          <bgColor indexed="10"/>
        </patternFill>
      </fill>
    </dxf>
  </dxfs>
  <tableStyles count="0" defaultTableStyle="TableStyleMedium2" defaultPivotStyle="PivotStyleLight16"/>
  <colors>
    <mruColors>
      <color rgb="FFFFFF99"/>
      <color rgb="FFCC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6.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chartsheet" Target="chartsheets/sheet5.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hartsheet" Target="chartsheets/sheet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hartsheet" Target="chartsheets/sheet8.xml"/><Relationship Id="rId23" Type="http://schemas.openxmlformats.org/officeDocument/2006/relationships/calcChain" Target="calcChain.xml"/><Relationship Id="rId10" Type="http://schemas.openxmlformats.org/officeDocument/2006/relationships/chartsheet" Target="chartsheets/sheet3.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hartsheet" Target="chartsheets/sheet7.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Project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'Project ratings'!$A$4</c:f>
              <c:strCache>
                <c:ptCount val="1"/>
                <c:pt idx="0">
                  <c:v>PV  SWP</c:v>
                </c:pt>
              </c:strCache>
            </c:strRef>
          </c:tx>
          <c:spPr>
            <a:ln w="28575" cap="rnd">
              <a:solidFill>
                <a:schemeClr val="accent1"/>
              </a:solidFill>
              <a:round/>
            </a:ln>
            <a:effectLst/>
          </c:spPr>
          <c:marker>
            <c:symbol val="none"/>
          </c:marker>
          <c:cat>
            <c:strRef>
              <c:f>'Project ratings'!$B$3:$G$3</c:f>
              <c:strCache>
                <c:ptCount val="6"/>
                <c:pt idx="0">
                  <c:v>Financial participation</c:v>
                </c:pt>
                <c:pt idx="1">
                  <c:v>Community ownership</c:v>
                </c:pt>
                <c:pt idx="2">
                  <c:v>Climate impact</c:v>
                </c:pt>
                <c:pt idx="3">
                  <c:v>Added value to local economy</c:v>
                </c:pt>
                <c:pt idx="4">
                  <c:v>Visual impact on environment</c:v>
                </c:pt>
                <c:pt idx="5">
                  <c:v>Legal complexity</c:v>
                </c:pt>
              </c:strCache>
            </c:strRef>
          </c:cat>
          <c:val>
            <c:numRef>
              <c:f>'Project ratings'!$B$4:$G$4</c:f>
              <c:numCache>
                <c:formatCode>0</c:formatCode>
                <c:ptCount val="6"/>
                <c:pt idx="0">
                  <c:v>5</c:v>
                </c:pt>
                <c:pt idx="1">
                  <c:v>5</c:v>
                </c:pt>
                <c:pt idx="2">
                  <c:v>5</c:v>
                </c:pt>
                <c:pt idx="3">
                  <c:v>3</c:v>
                </c:pt>
                <c:pt idx="4">
                  <c:v>4</c:v>
                </c:pt>
                <c:pt idx="5">
                  <c:v>3</c:v>
                </c:pt>
              </c:numCache>
            </c:numRef>
          </c:val>
          <c:extLst>
            <c:ext xmlns:c16="http://schemas.microsoft.com/office/drawing/2014/chart" uri="{C3380CC4-5D6E-409C-BE32-E72D297353CC}">
              <c16:uniqueId val="{00000000-1559-DE4D-92D9-5AEEF2D75A27}"/>
            </c:ext>
          </c:extLst>
        </c:ser>
        <c:ser>
          <c:idx val="1"/>
          <c:order val="1"/>
          <c:tx>
            <c:strRef>
              <c:f>'Project ratings'!$A$5</c:f>
              <c:strCache>
                <c:ptCount val="1"/>
                <c:pt idx="0">
                  <c:v>Peer project 2</c:v>
                </c:pt>
              </c:strCache>
            </c:strRef>
          </c:tx>
          <c:spPr>
            <a:ln w="28575" cap="rnd">
              <a:solidFill>
                <a:schemeClr val="accent2"/>
              </a:solidFill>
              <a:round/>
            </a:ln>
            <a:effectLst/>
          </c:spPr>
          <c:marker>
            <c:symbol val="none"/>
          </c:marker>
          <c:cat>
            <c:strRef>
              <c:f>'Project ratings'!$B$3:$G$3</c:f>
              <c:strCache>
                <c:ptCount val="6"/>
                <c:pt idx="0">
                  <c:v>Financial participation</c:v>
                </c:pt>
                <c:pt idx="1">
                  <c:v>Community ownership</c:v>
                </c:pt>
                <c:pt idx="2">
                  <c:v>Climate impact</c:v>
                </c:pt>
                <c:pt idx="3">
                  <c:v>Added value to local economy</c:v>
                </c:pt>
                <c:pt idx="4">
                  <c:v>Visual impact on environment</c:v>
                </c:pt>
                <c:pt idx="5">
                  <c:v>Legal complexity</c:v>
                </c:pt>
              </c:strCache>
            </c:strRef>
          </c:cat>
          <c:val>
            <c:numRef>
              <c:f>'Project ratings'!$B$5:$G$5</c:f>
              <c:numCache>
                <c:formatCode>General</c:formatCode>
                <c:ptCount val="6"/>
                <c:pt idx="0">
                  <c:v>3</c:v>
                </c:pt>
                <c:pt idx="1">
                  <c:v>5</c:v>
                </c:pt>
                <c:pt idx="2">
                  <c:v>4</c:v>
                </c:pt>
                <c:pt idx="3">
                  <c:v>3</c:v>
                </c:pt>
                <c:pt idx="4">
                  <c:v>4</c:v>
                </c:pt>
                <c:pt idx="5">
                  <c:v>2</c:v>
                </c:pt>
              </c:numCache>
            </c:numRef>
          </c:val>
          <c:extLst>
            <c:ext xmlns:c16="http://schemas.microsoft.com/office/drawing/2014/chart" uri="{C3380CC4-5D6E-409C-BE32-E72D297353CC}">
              <c16:uniqueId val="{00000001-1559-DE4D-92D9-5AEEF2D75A27}"/>
            </c:ext>
          </c:extLst>
        </c:ser>
        <c:ser>
          <c:idx val="2"/>
          <c:order val="2"/>
          <c:tx>
            <c:strRef>
              <c:f>'Project ratings'!$A$6</c:f>
              <c:strCache>
                <c:ptCount val="1"/>
                <c:pt idx="0">
                  <c:v>Peer project 3</c:v>
                </c:pt>
              </c:strCache>
            </c:strRef>
          </c:tx>
          <c:spPr>
            <a:ln w="28575" cap="rnd">
              <a:solidFill>
                <a:schemeClr val="accent3"/>
              </a:solidFill>
              <a:round/>
            </a:ln>
            <a:effectLst/>
          </c:spPr>
          <c:marker>
            <c:symbol val="none"/>
          </c:marker>
          <c:cat>
            <c:strRef>
              <c:f>'Project ratings'!$B$3:$G$3</c:f>
              <c:strCache>
                <c:ptCount val="6"/>
                <c:pt idx="0">
                  <c:v>Financial participation</c:v>
                </c:pt>
                <c:pt idx="1">
                  <c:v>Community ownership</c:v>
                </c:pt>
                <c:pt idx="2">
                  <c:v>Climate impact</c:v>
                </c:pt>
                <c:pt idx="3">
                  <c:v>Added value to local economy</c:v>
                </c:pt>
                <c:pt idx="4">
                  <c:v>Visual impact on environment</c:v>
                </c:pt>
                <c:pt idx="5">
                  <c:v>Legal complexity</c:v>
                </c:pt>
              </c:strCache>
            </c:strRef>
          </c:cat>
          <c:val>
            <c:numRef>
              <c:f>'Project ratings'!$B$6:$G$6</c:f>
              <c:numCache>
                <c:formatCode>General</c:formatCode>
                <c:ptCount val="6"/>
                <c:pt idx="0">
                  <c:v>3</c:v>
                </c:pt>
                <c:pt idx="1">
                  <c:v>3</c:v>
                </c:pt>
                <c:pt idx="2">
                  <c:v>4</c:v>
                </c:pt>
                <c:pt idx="3">
                  <c:v>2</c:v>
                </c:pt>
                <c:pt idx="4">
                  <c:v>5</c:v>
                </c:pt>
                <c:pt idx="5">
                  <c:v>1</c:v>
                </c:pt>
              </c:numCache>
            </c:numRef>
          </c:val>
          <c:extLst>
            <c:ext xmlns:c16="http://schemas.microsoft.com/office/drawing/2014/chart" uri="{C3380CC4-5D6E-409C-BE32-E72D297353CC}">
              <c16:uniqueId val="{00000002-1559-DE4D-92D9-5AEEF2D75A27}"/>
            </c:ext>
          </c:extLst>
        </c:ser>
        <c:dLbls>
          <c:showLegendKey val="0"/>
          <c:showVal val="0"/>
          <c:showCatName val="0"/>
          <c:showSerName val="0"/>
          <c:showPercent val="0"/>
          <c:showBubbleSize val="0"/>
        </c:dLbls>
        <c:axId val="533840336"/>
        <c:axId val="533841120"/>
      </c:radarChart>
      <c:catAx>
        <c:axId val="5338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841120"/>
        <c:crosses val="autoZero"/>
        <c:auto val="1"/>
        <c:lblAlgn val="ctr"/>
        <c:lblOffset val="100"/>
        <c:noMultiLvlLbl val="0"/>
      </c:catAx>
      <c:valAx>
        <c:axId val="533841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840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Annual kWh Generation</a:t>
            </a:r>
          </a:p>
        </c:rich>
      </c:tx>
      <c:layout>
        <c:manualLayout>
          <c:xMode val="edge"/>
          <c:yMode val="edge"/>
          <c:x val="0.39622642123407092"/>
          <c:y val="1.9575940827960603E-2"/>
        </c:manualLayout>
      </c:layout>
      <c:overlay val="0"/>
      <c:spPr>
        <a:noFill/>
        <a:ln w="25400">
          <a:noFill/>
        </a:ln>
      </c:spPr>
    </c:title>
    <c:autoTitleDeleted val="0"/>
    <c:plotArea>
      <c:layout>
        <c:manualLayout>
          <c:layoutTarget val="inner"/>
          <c:xMode val="edge"/>
          <c:yMode val="edge"/>
          <c:x val="0.11320754716981132"/>
          <c:y val="0.12071778140293637"/>
          <c:w val="0.87569367369589346"/>
          <c:h val="0.77977161500815662"/>
        </c:manualLayout>
      </c:layout>
      <c:barChart>
        <c:barDir val="col"/>
        <c:grouping val="clustered"/>
        <c:varyColors val="0"/>
        <c:ser>
          <c:idx val="0"/>
          <c:order val="0"/>
          <c:spPr>
            <a:solidFill>
              <a:srgbClr val="A6CAF0"/>
            </a:solidFill>
            <a:ln w="25400">
              <a:noFill/>
            </a:ln>
          </c:spPr>
          <c:invertIfNegative val="0"/>
          <c:val>
            <c:numRef>
              <c:f>'Pro Forma'!$C$12:$AA$12</c:f>
              <c:numCache>
                <c:formatCode>#,##0_);[Red]\(#,##0\)</c:formatCode>
                <c:ptCount val="25"/>
                <c:pt idx="0">
                  <c:v>33818.400000000001</c:v>
                </c:pt>
                <c:pt idx="1">
                  <c:v>33142.031999999999</c:v>
                </c:pt>
                <c:pt idx="2">
                  <c:v>32465.664000000001</c:v>
                </c:pt>
                <c:pt idx="3">
                  <c:v>31789.296000000002</c:v>
                </c:pt>
                <c:pt idx="4">
                  <c:v>31112.928</c:v>
                </c:pt>
                <c:pt idx="5">
                  <c:v>30436.560000000001</c:v>
                </c:pt>
                <c:pt idx="6">
                  <c:v>29760.192000000003</c:v>
                </c:pt>
                <c:pt idx="7">
                  <c:v>29083.824000000001</c:v>
                </c:pt>
                <c:pt idx="8">
                  <c:v>28407.456000000002</c:v>
                </c:pt>
                <c:pt idx="9">
                  <c:v>27731.088</c:v>
                </c:pt>
                <c:pt idx="10">
                  <c:v>27054.720000000001</c:v>
                </c:pt>
                <c:pt idx="11">
                  <c:v>26378.351999999999</c:v>
                </c:pt>
                <c:pt idx="12">
                  <c:v>25701.984</c:v>
                </c:pt>
                <c:pt idx="13">
                  <c:v>25025.616000000002</c:v>
                </c:pt>
                <c:pt idx="14">
                  <c:v>24349.248</c:v>
                </c:pt>
                <c:pt idx="15">
                  <c:v>23672.880000000001</c:v>
                </c:pt>
                <c:pt idx="16">
                  <c:v>22996.512000000002</c:v>
                </c:pt>
                <c:pt idx="17">
                  <c:v>22320.144</c:v>
                </c:pt>
                <c:pt idx="18">
                  <c:v>21643.775999999998</c:v>
                </c:pt>
                <c:pt idx="19">
                  <c:v>20967.408000000003</c:v>
                </c:pt>
                <c:pt idx="20">
                  <c:v>0</c:v>
                </c:pt>
                <c:pt idx="21">
                  <c:v>0</c:v>
                </c:pt>
                <c:pt idx="22">
                  <c:v>0</c:v>
                </c:pt>
                <c:pt idx="23">
                  <c:v>0</c:v>
                </c:pt>
                <c:pt idx="24">
                  <c:v>0</c:v>
                </c:pt>
              </c:numCache>
            </c:numRef>
          </c:val>
          <c:extLst>
            <c:ext xmlns:c16="http://schemas.microsoft.com/office/drawing/2014/chart" uri="{C3380CC4-5D6E-409C-BE32-E72D297353CC}">
              <c16:uniqueId val="{00000000-6A11-ED49-929A-461E663E1FFC}"/>
            </c:ext>
          </c:extLst>
        </c:ser>
        <c:dLbls>
          <c:showLegendKey val="0"/>
          <c:showVal val="0"/>
          <c:showCatName val="0"/>
          <c:showSerName val="0"/>
          <c:showPercent val="0"/>
          <c:showBubbleSize val="0"/>
        </c:dLbls>
        <c:gapWidth val="50"/>
        <c:axId val="533841904"/>
        <c:axId val="533837984"/>
      </c:barChart>
      <c:catAx>
        <c:axId val="5338419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3274140578977114"/>
              <c:y val="0.9445351009575815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7984"/>
        <c:crosses val="autoZero"/>
        <c:auto val="1"/>
        <c:lblAlgn val="ctr"/>
        <c:lblOffset val="100"/>
        <c:tickLblSkip val="1"/>
        <c:tickMarkSkip val="1"/>
        <c:noMultiLvlLbl val="0"/>
      </c:catAx>
      <c:valAx>
        <c:axId val="533837984"/>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kWh/year</a:t>
                </a:r>
              </a:p>
            </c:rich>
          </c:tx>
          <c:layout>
            <c:manualLayout>
              <c:xMode val="edge"/>
              <c:yMode val="edge"/>
              <c:x val="1.2208681847423963E-2"/>
              <c:y val="0.45840128127871899"/>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4190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Annual Revenues</a:t>
            </a:r>
          </a:p>
        </c:rich>
      </c:tx>
      <c:layout>
        <c:manualLayout>
          <c:xMode val="edge"/>
          <c:yMode val="edge"/>
          <c:x val="0.42175363551452455"/>
          <c:y val="1.9575940827960603E-2"/>
        </c:manualLayout>
      </c:layout>
      <c:overlay val="0"/>
      <c:spPr>
        <a:noFill/>
        <a:ln w="25400">
          <a:noFill/>
        </a:ln>
      </c:spPr>
    </c:title>
    <c:autoTitleDeleted val="0"/>
    <c:plotArea>
      <c:layout>
        <c:manualLayout>
          <c:layoutTarget val="inner"/>
          <c:xMode val="edge"/>
          <c:yMode val="edge"/>
          <c:x val="0.10876803551609324"/>
          <c:y val="0.11908646003262642"/>
          <c:w val="0.72807991120976689"/>
          <c:h val="0.76508972267536701"/>
        </c:manualLayout>
      </c:layout>
      <c:barChart>
        <c:barDir val="col"/>
        <c:grouping val="stacked"/>
        <c:varyColors val="0"/>
        <c:ser>
          <c:idx val="3"/>
          <c:order val="0"/>
          <c:tx>
            <c:strRef>
              <c:f>'Pro Forma'!$A$15</c:f>
              <c:strCache>
                <c:ptCount val="1"/>
                <c:pt idx="0">
                  <c:v>Electricity Sales Revenue per PPA/Market RES (€)</c:v>
                </c:pt>
              </c:strCache>
            </c:strRef>
          </c:tx>
          <c:spPr>
            <a:solidFill>
              <a:srgbClr val="A0E0E0"/>
            </a:solidFill>
            <a:ln w="25400">
              <a:noFill/>
            </a:ln>
          </c:spPr>
          <c:invertIfNegative val="0"/>
          <c:val>
            <c:numRef>
              <c:f>'Pro Forma'!$C$15:$AA$15</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E406-A24E-AA08-368BC65D7A43}"/>
            </c:ext>
          </c:extLst>
        </c:ser>
        <c:ser>
          <c:idx val="6"/>
          <c:order val="1"/>
          <c:tx>
            <c:strRef>
              <c:f>'Pro Forma'!$A$19</c:f>
              <c:strCache>
                <c:ptCount val="1"/>
                <c:pt idx="0">
                  <c:v>Savings from Avoided Electricity Consumption (€)</c:v>
                </c:pt>
              </c:strCache>
            </c:strRef>
          </c:tx>
          <c:invertIfNegative val="0"/>
          <c:val>
            <c:numRef>
              <c:f>'Pro Forma'!$C$19:$AA$19</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E406-A24E-AA08-368BC65D7A43}"/>
            </c:ext>
          </c:extLst>
        </c:ser>
        <c:ser>
          <c:idx val="9"/>
          <c:order val="2"/>
          <c:tx>
            <c:strRef>
              <c:f>'Pro Forma'!$A$20</c:f>
              <c:strCache>
                <c:ptCount val="1"/>
                <c:pt idx="0">
                  <c:v>Production Incentive Payments (€)</c:v>
                </c:pt>
              </c:strCache>
            </c:strRef>
          </c:tx>
          <c:invertIfNegative val="0"/>
          <c:val>
            <c:numRef>
              <c:f>'Pro Forma'!$C$20:$AA$20</c:f>
              <c:numCache>
                <c:formatCode>#,##0_);[Red]\(#,##0\)</c:formatCode>
                <c:ptCount val="25"/>
                <c:pt idx="0">
                  <c:v>9469.1520000000019</c:v>
                </c:pt>
                <c:pt idx="1">
                  <c:v>9372.5666496000013</c:v>
                </c:pt>
                <c:pt idx="2">
                  <c:v>9273.1026769920009</c:v>
                </c:pt>
                <c:pt idx="3">
                  <c:v>9170.7121682668803</c:v>
                </c:pt>
                <c:pt idx="4">
                  <c:v>9065.3465390995607</c:v>
                </c:pt>
                <c:pt idx="5">
                  <c:v>8956.956526132064</c:v>
                </c:pt>
                <c:pt idx="6">
                  <c:v>8845.492178251312</c:v>
                </c:pt>
                <c:pt idx="7">
                  <c:v>8730.902847760326</c:v>
                </c:pt>
                <c:pt idx="8">
                  <c:v>8613.1371814417016</c:v>
                </c:pt>
                <c:pt idx="9">
                  <c:v>8492.1431115119249</c:v>
                </c:pt>
                <c:pt idx="10">
                  <c:v>8367.8678464654095</c:v>
                </c:pt>
                <c:pt idx="11">
                  <c:v>8240.2578618068092</c:v>
                </c:pt>
                <c:pt idx="12">
                  <c:v>8109.2588906703941</c:v>
                </c:pt>
                <c:pt idx="13">
                  <c:v>7974.8159143250696</c:v>
                </c:pt>
                <c:pt idx="14">
                  <c:v>7836.8731525637722</c:v>
                </c:pt>
                <c:pt idx="15">
                  <c:v>7695.3740539758128</c:v>
                </c:pt>
                <c:pt idx="16">
                  <c:v>7550.2612861008429</c:v>
                </c:pt>
                <c:pt idx="17">
                  <c:v>7401.4767254629733</c:v>
                </c:pt>
                <c:pt idx="18">
                  <c:v>7248.9614474837354</c:v>
                </c:pt>
                <c:pt idx="19">
                  <c:v>7092.6557162723675</c:v>
                </c:pt>
                <c:pt idx="20">
                  <c:v>0</c:v>
                </c:pt>
                <c:pt idx="21">
                  <c:v>0</c:v>
                </c:pt>
                <c:pt idx="22">
                  <c:v>0</c:v>
                </c:pt>
                <c:pt idx="23">
                  <c:v>0</c:v>
                </c:pt>
                <c:pt idx="24">
                  <c:v>0</c:v>
                </c:pt>
              </c:numCache>
            </c:numRef>
          </c:val>
          <c:extLst>
            <c:ext xmlns:c16="http://schemas.microsoft.com/office/drawing/2014/chart" uri="{C3380CC4-5D6E-409C-BE32-E72D297353CC}">
              <c16:uniqueId val="{00000005-E406-A24E-AA08-368BC65D7A43}"/>
            </c:ext>
          </c:extLst>
        </c:ser>
        <c:dLbls>
          <c:showLegendKey val="0"/>
          <c:showVal val="0"/>
          <c:showCatName val="0"/>
          <c:showSerName val="0"/>
          <c:showPercent val="0"/>
          <c:showBubbleSize val="0"/>
        </c:dLbls>
        <c:gapWidth val="50"/>
        <c:overlap val="100"/>
        <c:axId val="533835240"/>
        <c:axId val="533834848"/>
      </c:barChart>
      <c:catAx>
        <c:axId val="5338352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45505002083139223"/>
              <c:y val="0.9282219058132155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4848"/>
        <c:crosses val="autoZero"/>
        <c:auto val="1"/>
        <c:lblAlgn val="ctr"/>
        <c:lblOffset val="100"/>
        <c:tickLblSkip val="1"/>
        <c:tickMarkSkip val="1"/>
        <c:noMultiLvlLbl val="0"/>
      </c:catAx>
      <c:valAx>
        <c:axId val="533834848"/>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Revenue (€)</a:t>
                </a:r>
              </a:p>
            </c:rich>
          </c:tx>
          <c:layout>
            <c:manualLayout>
              <c:xMode val="edge"/>
              <c:yMode val="edge"/>
              <c:x val="2.4417255226260592E-2"/>
              <c:y val="0.437194056487895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5240"/>
        <c:crosses val="autoZero"/>
        <c:crossBetween val="between"/>
      </c:valAx>
      <c:spPr>
        <a:noFill/>
        <a:ln w="12700">
          <a:solidFill>
            <a:srgbClr val="808080"/>
          </a:solidFill>
          <a:prstDash val="solid"/>
        </a:ln>
      </c:spPr>
    </c:plotArea>
    <c:legend>
      <c:legendPos val="r"/>
      <c:layout>
        <c:manualLayout>
          <c:xMode val="edge"/>
          <c:yMode val="edge"/>
          <c:x val="0.85014836875718536"/>
          <c:y val="0.28054297918633114"/>
          <c:w val="0.14094950581169263"/>
          <c:h val="0.434389215074578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Electricity Sales Revenue</a:t>
            </a:r>
          </a:p>
        </c:rich>
      </c:tx>
      <c:layout>
        <c:manualLayout>
          <c:xMode val="edge"/>
          <c:yMode val="edge"/>
          <c:x val="0.29078801235543983"/>
          <c:y val="1.9575940827960603E-2"/>
        </c:manualLayout>
      </c:layout>
      <c:overlay val="0"/>
      <c:spPr>
        <a:noFill/>
        <a:ln w="25400">
          <a:noFill/>
        </a:ln>
      </c:spPr>
    </c:title>
    <c:autoTitleDeleted val="0"/>
    <c:plotArea>
      <c:layout>
        <c:manualLayout>
          <c:layoutTarget val="inner"/>
          <c:xMode val="edge"/>
          <c:yMode val="edge"/>
          <c:x val="9.6559378468368484E-2"/>
          <c:y val="0.12071778140293637"/>
          <c:w val="0.78912319644839068"/>
          <c:h val="0.77977161500815662"/>
        </c:manualLayout>
      </c:layout>
      <c:barChart>
        <c:barDir val="col"/>
        <c:grouping val="stacked"/>
        <c:varyColors val="0"/>
        <c:ser>
          <c:idx val="0"/>
          <c:order val="0"/>
          <c:tx>
            <c:strRef>
              <c:f>'Pro Forma'!$A$15</c:f>
              <c:strCache>
                <c:ptCount val="1"/>
                <c:pt idx="0">
                  <c:v>Electricity Sales Revenue per PPA/Market RES (€)</c:v>
                </c:pt>
              </c:strCache>
            </c:strRef>
          </c:tx>
          <c:spPr>
            <a:solidFill>
              <a:srgbClr val="8080FF"/>
            </a:solidFill>
            <a:ln w="25400">
              <a:noFill/>
            </a:ln>
          </c:spPr>
          <c:invertIfNegative val="0"/>
          <c:val>
            <c:numRef>
              <c:f>'Pro Forma'!$C$15:$AA$15</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9F89-D648-A802-128315B6E683}"/>
            </c:ext>
          </c:extLst>
        </c:ser>
        <c:ser>
          <c:idx val="2"/>
          <c:order val="1"/>
          <c:tx>
            <c:strRef>
              <c:f>'Pro Forma'!$A$19</c:f>
              <c:strCache>
                <c:ptCount val="1"/>
                <c:pt idx="0">
                  <c:v>Savings from Avoided Electricity Consumption (€)</c:v>
                </c:pt>
              </c:strCache>
            </c:strRef>
          </c:tx>
          <c:invertIfNegative val="0"/>
          <c:val>
            <c:numRef>
              <c:f>'Pro Forma'!$C$19:$AA$19</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9F89-D648-A802-128315B6E683}"/>
            </c:ext>
          </c:extLst>
        </c:ser>
        <c:dLbls>
          <c:showLegendKey val="0"/>
          <c:showVal val="0"/>
          <c:showCatName val="0"/>
          <c:showSerName val="0"/>
          <c:showPercent val="0"/>
          <c:showBubbleSize val="0"/>
        </c:dLbls>
        <c:gapWidth val="50"/>
        <c:overlap val="100"/>
        <c:axId val="533830536"/>
        <c:axId val="533830928"/>
      </c:barChart>
      <c:catAx>
        <c:axId val="5338305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47280806407543163"/>
              <c:y val="0.9445351009575815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0928"/>
        <c:crosses val="autoZero"/>
        <c:auto val="1"/>
        <c:lblAlgn val="ctr"/>
        <c:lblOffset val="100"/>
        <c:tickLblSkip val="1"/>
        <c:tickMarkSkip val="1"/>
        <c:noMultiLvlLbl val="0"/>
      </c:catAx>
      <c:valAx>
        <c:axId val="533830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Sales Revenue (€)</a:t>
                </a:r>
              </a:p>
            </c:rich>
          </c:tx>
          <c:layout>
            <c:manualLayout>
              <c:xMode val="edge"/>
              <c:yMode val="edge"/>
              <c:x val="1.2208681847423963E-2"/>
              <c:y val="0.41435572549207822"/>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0536"/>
        <c:crosses val="autoZero"/>
        <c:crossBetween val="between"/>
      </c:valAx>
      <c:spPr>
        <a:noFill/>
        <a:ln w="12700">
          <a:solidFill>
            <a:srgbClr val="808080"/>
          </a:solidFill>
          <a:prstDash val="solid"/>
        </a:ln>
      </c:spPr>
    </c:plotArea>
    <c:legend>
      <c:legendPos val="r"/>
      <c:layout>
        <c:manualLayout>
          <c:xMode val="edge"/>
          <c:yMode val="edge"/>
          <c:x val="0.89910978745688785"/>
          <c:y val="0.27375565047825756"/>
          <c:w val="9.7922837399404883E-2"/>
          <c:h val="0.2850678057390905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Annual Payments on Loan (Interest and Principal)</a:t>
            </a:r>
          </a:p>
        </c:rich>
      </c:tx>
      <c:layout>
        <c:manualLayout>
          <c:xMode val="edge"/>
          <c:yMode val="edge"/>
          <c:x val="0.28745835213003562"/>
          <c:y val="1.9575940827960603E-2"/>
        </c:manualLayout>
      </c:layout>
      <c:overlay val="0"/>
      <c:spPr>
        <a:noFill/>
        <a:ln w="25400">
          <a:noFill/>
        </a:ln>
      </c:spPr>
    </c:title>
    <c:autoTitleDeleted val="0"/>
    <c:plotArea>
      <c:layout>
        <c:manualLayout>
          <c:layoutTarget val="inner"/>
          <c:xMode val="edge"/>
          <c:yMode val="edge"/>
          <c:x val="9.6559378468368484E-2"/>
          <c:y val="0.12071778140293637"/>
          <c:w val="0.89234184239733627"/>
          <c:h val="0.73735725938009788"/>
        </c:manualLayout>
      </c:layout>
      <c:barChart>
        <c:barDir val="col"/>
        <c:grouping val="stacked"/>
        <c:varyColors val="0"/>
        <c:ser>
          <c:idx val="0"/>
          <c:order val="0"/>
          <c:spPr>
            <a:solidFill>
              <a:srgbClr val="8080FF"/>
            </a:solidFill>
            <a:ln w="25400">
              <a:noFill/>
            </a:ln>
          </c:spPr>
          <c:invertIfNegative val="0"/>
          <c:val>
            <c:numRef>
              <c:f>'Pro Forma'!$C$41:$AA$41</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7218-6243-9500-81A3990C7B40}"/>
            </c:ext>
          </c:extLst>
        </c:ser>
        <c:ser>
          <c:idx val="1"/>
          <c:order val="1"/>
          <c:spPr>
            <a:solidFill>
              <a:srgbClr val="802060"/>
            </a:solidFill>
            <a:ln w="25400">
              <a:noFill/>
            </a:ln>
          </c:spPr>
          <c:invertIfNegative val="0"/>
          <c:val>
            <c:numRef>
              <c:f>'Pro Forma'!$C$53:$AA$53</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218-6243-9500-81A3990C7B40}"/>
            </c:ext>
          </c:extLst>
        </c:ser>
        <c:dLbls>
          <c:showLegendKey val="0"/>
          <c:showVal val="0"/>
          <c:showCatName val="0"/>
          <c:showSerName val="0"/>
          <c:showPercent val="0"/>
          <c:showBubbleSize val="0"/>
        </c:dLbls>
        <c:gapWidth val="50"/>
        <c:overlap val="100"/>
        <c:axId val="533828576"/>
        <c:axId val="533836808"/>
      </c:barChart>
      <c:catAx>
        <c:axId val="5338285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2497234322194442"/>
              <c:y val="0.90212065137593478"/>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6808"/>
        <c:crosses val="autoZero"/>
        <c:auto val="1"/>
        <c:lblAlgn val="ctr"/>
        <c:lblOffset val="100"/>
        <c:tickLblSkip val="1"/>
        <c:tickMarkSkip val="1"/>
        <c:noMultiLvlLbl val="0"/>
      </c:catAx>
      <c:valAx>
        <c:axId val="533836808"/>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Payment (€)</a:t>
                </a:r>
              </a:p>
            </c:rich>
          </c:tx>
          <c:layout>
            <c:manualLayout>
              <c:xMode val="edge"/>
              <c:yMode val="edge"/>
              <c:x val="1.2208681847423963E-2"/>
              <c:y val="0.42577489098998689"/>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28576"/>
        <c:crosses val="autoZero"/>
        <c:crossBetween val="between"/>
      </c:valAx>
      <c:spPr>
        <a:noFill/>
        <a:ln w="12700">
          <a:solidFill>
            <a:srgbClr val="808080"/>
          </a:solidFill>
          <a:prstDash val="solid"/>
        </a:ln>
      </c:spPr>
    </c:plotArea>
    <c:legend>
      <c:legendPos val="b"/>
      <c:layout>
        <c:manualLayout>
          <c:xMode val="edge"/>
          <c:yMode val="edge"/>
          <c:x val="0.4035608501724488"/>
          <c:y val="0.95701352559624431"/>
          <c:w val="0.27596436980455796"/>
          <c:h val="3.619914569568205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Annual Expenses</a:t>
            </a:r>
          </a:p>
        </c:rich>
      </c:tx>
      <c:layout>
        <c:manualLayout>
          <c:xMode val="edge"/>
          <c:yMode val="edge"/>
          <c:x val="0.42175363551452455"/>
          <c:y val="1.9575940827960603E-2"/>
        </c:manualLayout>
      </c:layout>
      <c:overlay val="0"/>
      <c:spPr>
        <a:noFill/>
        <a:ln w="25400">
          <a:noFill/>
        </a:ln>
      </c:spPr>
    </c:title>
    <c:autoTitleDeleted val="0"/>
    <c:plotArea>
      <c:layout>
        <c:manualLayout>
          <c:layoutTarget val="inner"/>
          <c:xMode val="edge"/>
          <c:yMode val="edge"/>
          <c:x val="0.11875693673695893"/>
          <c:y val="0.11908646003262642"/>
          <c:w val="0.72918978912319643"/>
          <c:h val="0.76508972267536701"/>
        </c:manualLayout>
      </c:layout>
      <c:barChart>
        <c:barDir val="col"/>
        <c:grouping val="stacked"/>
        <c:varyColors val="0"/>
        <c:ser>
          <c:idx val="0"/>
          <c:order val="0"/>
          <c:tx>
            <c:strRef>
              <c:f>'Pro Forma'!$A$24</c:f>
              <c:strCache>
                <c:ptCount val="1"/>
                <c:pt idx="0">
                  <c:v>Operations &amp; Maintenance</c:v>
                </c:pt>
              </c:strCache>
            </c:strRef>
          </c:tx>
          <c:spPr>
            <a:solidFill>
              <a:srgbClr val="8080FF"/>
            </a:solidFill>
            <a:ln w="25400">
              <a:noFill/>
            </a:ln>
          </c:spPr>
          <c:invertIfNegative val="0"/>
          <c:val>
            <c:numRef>
              <c:f>'Pro Forma'!$C$24:$AA$24</c:f>
              <c:numCache>
                <c:formatCode>#,##0_);[Red]\(#,##0\)</c:formatCode>
                <c:ptCount val="25"/>
                <c:pt idx="0">
                  <c:v>672</c:v>
                </c:pt>
                <c:pt idx="1">
                  <c:v>682.07999999999993</c:v>
                </c:pt>
                <c:pt idx="2">
                  <c:v>692.31119999999987</c:v>
                </c:pt>
                <c:pt idx="3">
                  <c:v>702.69586799999979</c:v>
                </c:pt>
                <c:pt idx="4">
                  <c:v>713.23630601999957</c:v>
                </c:pt>
                <c:pt idx="5">
                  <c:v>723.93485061029946</c:v>
                </c:pt>
                <c:pt idx="6">
                  <c:v>734.79387336945388</c:v>
                </c:pt>
                <c:pt idx="7">
                  <c:v>745.81578146999561</c:v>
                </c:pt>
                <c:pt idx="8">
                  <c:v>757.00301819204549</c:v>
                </c:pt>
                <c:pt idx="9">
                  <c:v>768.35806346492598</c:v>
                </c:pt>
                <c:pt idx="10">
                  <c:v>779.88343441689983</c:v>
                </c:pt>
                <c:pt idx="11">
                  <c:v>791.58168593315327</c:v>
                </c:pt>
                <c:pt idx="12">
                  <c:v>803.45541122215036</c:v>
                </c:pt>
                <c:pt idx="13">
                  <c:v>815.50724239048259</c:v>
                </c:pt>
                <c:pt idx="14">
                  <c:v>827.73985102633958</c:v>
                </c:pt>
                <c:pt idx="15">
                  <c:v>840.15594879173455</c:v>
                </c:pt>
                <c:pt idx="16">
                  <c:v>852.75828802361048</c:v>
                </c:pt>
                <c:pt idx="17">
                  <c:v>865.54966234396454</c:v>
                </c:pt>
                <c:pt idx="18">
                  <c:v>878.53290727912395</c:v>
                </c:pt>
                <c:pt idx="19">
                  <c:v>891.71090088831068</c:v>
                </c:pt>
                <c:pt idx="20">
                  <c:v>0</c:v>
                </c:pt>
                <c:pt idx="21">
                  <c:v>0</c:v>
                </c:pt>
                <c:pt idx="22">
                  <c:v>0</c:v>
                </c:pt>
                <c:pt idx="23">
                  <c:v>0</c:v>
                </c:pt>
                <c:pt idx="24">
                  <c:v>0</c:v>
                </c:pt>
              </c:numCache>
            </c:numRef>
          </c:val>
          <c:extLst>
            <c:ext xmlns:c16="http://schemas.microsoft.com/office/drawing/2014/chart" uri="{C3380CC4-5D6E-409C-BE32-E72D297353CC}">
              <c16:uniqueId val="{00000000-8194-8F46-9CDA-2D6AC13F21D8}"/>
            </c:ext>
          </c:extLst>
        </c:ser>
        <c:ser>
          <c:idx val="1"/>
          <c:order val="1"/>
          <c:tx>
            <c:strRef>
              <c:f>'Pro Forma'!$A$26</c:f>
              <c:strCache>
                <c:ptCount val="1"/>
                <c:pt idx="0">
                  <c:v>Project Management  Fee</c:v>
                </c:pt>
              </c:strCache>
            </c:strRef>
          </c:tx>
          <c:spPr>
            <a:solidFill>
              <a:srgbClr val="802060"/>
            </a:solidFill>
            <a:ln w="25400">
              <a:noFill/>
            </a:ln>
          </c:spPr>
          <c:invertIfNegative val="0"/>
          <c:val>
            <c:numRef>
              <c:f>'Pro Forma'!$C$26:$AA$26</c:f>
              <c:numCache>
                <c:formatCode>#,##0_);[Red]\(#,##0\)</c:formatCode>
                <c:ptCount val="25"/>
                <c:pt idx="0">
                  <c:v>323</c:v>
                </c:pt>
                <c:pt idx="1">
                  <c:v>327.84499999999997</c:v>
                </c:pt>
                <c:pt idx="2">
                  <c:v>332.76267499999989</c:v>
                </c:pt>
                <c:pt idx="3">
                  <c:v>337.75411512499988</c:v>
                </c:pt>
                <c:pt idx="4">
                  <c:v>342.8204268518748</c:v>
                </c:pt>
                <c:pt idx="5">
                  <c:v>347.9627332546529</c:v>
                </c:pt>
                <c:pt idx="6">
                  <c:v>353.18217425347262</c:v>
                </c:pt>
                <c:pt idx="7">
                  <c:v>358.47990686727468</c:v>
                </c:pt>
                <c:pt idx="8">
                  <c:v>363.85710547028373</c:v>
                </c:pt>
                <c:pt idx="9">
                  <c:v>369.31496205233793</c:v>
                </c:pt>
                <c:pt idx="10">
                  <c:v>374.85468648312298</c:v>
                </c:pt>
                <c:pt idx="11">
                  <c:v>380.47750678036977</c:v>
                </c:pt>
                <c:pt idx="12">
                  <c:v>386.18466938207524</c:v>
                </c:pt>
                <c:pt idx="13">
                  <c:v>391.97743942280636</c:v>
                </c:pt>
                <c:pt idx="14">
                  <c:v>397.85710101414833</c:v>
                </c:pt>
                <c:pt idx="15">
                  <c:v>403.82495752936052</c:v>
                </c:pt>
                <c:pt idx="16">
                  <c:v>409.88233189230084</c:v>
                </c:pt>
                <c:pt idx="17">
                  <c:v>416.03056687068533</c:v>
                </c:pt>
                <c:pt idx="18">
                  <c:v>422.2710253737456</c:v>
                </c:pt>
                <c:pt idx="19">
                  <c:v>428.60509075435169</c:v>
                </c:pt>
                <c:pt idx="20">
                  <c:v>0</c:v>
                </c:pt>
                <c:pt idx="21">
                  <c:v>0</c:v>
                </c:pt>
                <c:pt idx="22">
                  <c:v>0</c:v>
                </c:pt>
                <c:pt idx="23">
                  <c:v>0</c:v>
                </c:pt>
                <c:pt idx="24">
                  <c:v>0</c:v>
                </c:pt>
              </c:numCache>
            </c:numRef>
          </c:val>
          <c:extLst>
            <c:ext xmlns:c16="http://schemas.microsoft.com/office/drawing/2014/chart" uri="{C3380CC4-5D6E-409C-BE32-E72D297353CC}">
              <c16:uniqueId val="{00000001-8194-8F46-9CDA-2D6AC13F21D8}"/>
            </c:ext>
          </c:extLst>
        </c:ser>
        <c:ser>
          <c:idx val="2"/>
          <c:order val="2"/>
          <c:tx>
            <c:strRef>
              <c:f>'Pro Forma'!$A$27</c:f>
              <c:strCache>
                <c:ptCount val="1"/>
                <c:pt idx="0">
                  <c:v>Insurance</c:v>
                </c:pt>
              </c:strCache>
            </c:strRef>
          </c:tx>
          <c:spPr>
            <a:solidFill>
              <a:srgbClr val="C0C0C0"/>
            </a:solidFill>
            <a:ln w="25400">
              <a:noFill/>
            </a:ln>
          </c:spPr>
          <c:invertIfNegative val="0"/>
          <c:val>
            <c:numRef>
              <c:f>'Pro Forma'!$C$27:$AA$27</c:f>
              <c:numCache>
                <c:formatCode>#,##0_);[Red]\(#,##0\)</c:formatCode>
                <c:ptCount val="25"/>
                <c:pt idx="0">
                  <c:v>600</c:v>
                </c:pt>
                <c:pt idx="1">
                  <c:v>612</c:v>
                </c:pt>
                <c:pt idx="2">
                  <c:v>624.24</c:v>
                </c:pt>
                <c:pt idx="3">
                  <c:v>636.72479999999996</c:v>
                </c:pt>
                <c:pt idx="4">
                  <c:v>649.45929599999999</c:v>
                </c:pt>
                <c:pt idx="5">
                  <c:v>662.44848192000006</c:v>
                </c:pt>
                <c:pt idx="6">
                  <c:v>675.69745155840008</c:v>
                </c:pt>
                <c:pt idx="7">
                  <c:v>689.21140058956792</c:v>
                </c:pt>
                <c:pt idx="8">
                  <c:v>702.99562860135927</c:v>
                </c:pt>
                <c:pt idx="9">
                  <c:v>717.05554117338647</c:v>
                </c:pt>
                <c:pt idx="10">
                  <c:v>731.3966519968543</c:v>
                </c:pt>
                <c:pt idx="11">
                  <c:v>746.02458503679122</c:v>
                </c:pt>
                <c:pt idx="12">
                  <c:v>760.94507673752719</c:v>
                </c:pt>
                <c:pt idx="13">
                  <c:v>776.16397827227763</c:v>
                </c:pt>
                <c:pt idx="14">
                  <c:v>791.68725783772334</c:v>
                </c:pt>
                <c:pt idx="15">
                  <c:v>807.5210029944775</c:v>
                </c:pt>
                <c:pt idx="16">
                  <c:v>823.67142305436721</c:v>
                </c:pt>
                <c:pt idx="17">
                  <c:v>840.14485151545466</c:v>
                </c:pt>
                <c:pt idx="18">
                  <c:v>856.9477485457636</c:v>
                </c:pt>
                <c:pt idx="19">
                  <c:v>874.08670351667888</c:v>
                </c:pt>
                <c:pt idx="20">
                  <c:v>0</c:v>
                </c:pt>
                <c:pt idx="21">
                  <c:v>0</c:v>
                </c:pt>
                <c:pt idx="22">
                  <c:v>0</c:v>
                </c:pt>
                <c:pt idx="23">
                  <c:v>0</c:v>
                </c:pt>
                <c:pt idx="24">
                  <c:v>0</c:v>
                </c:pt>
              </c:numCache>
            </c:numRef>
          </c:val>
          <c:extLst>
            <c:ext xmlns:c16="http://schemas.microsoft.com/office/drawing/2014/chart" uri="{C3380CC4-5D6E-409C-BE32-E72D297353CC}">
              <c16:uniqueId val="{00000002-8194-8F46-9CDA-2D6AC13F21D8}"/>
            </c:ext>
          </c:extLst>
        </c:ser>
        <c:ser>
          <c:idx val="4"/>
          <c:order val="3"/>
          <c:tx>
            <c:strRef>
              <c:f>'Pro Forma'!$A$29</c:f>
              <c:strCache>
                <c:ptCount val="1"/>
                <c:pt idx="0">
                  <c:v>Leaseholder Payments</c:v>
                </c:pt>
              </c:strCache>
            </c:strRef>
          </c:tx>
          <c:spPr>
            <a:solidFill>
              <a:srgbClr val="A0E0E0"/>
            </a:solidFill>
            <a:ln w="25400">
              <a:noFill/>
            </a:ln>
          </c:spPr>
          <c:invertIfNegative val="0"/>
          <c:val>
            <c:numRef>
              <c:f>'Pro Forma'!$C$29:$AA$29</c:f>
              <c:numCache>
                <c:formatCode>#,##0_);[Red]\(#,##0\)</c:formatCode>
                <c:ptCount val="25"/>
                <c:pt idx="0">
                  <c:v>328</c:v>
                </c:pt>
                <c:pt idx="1">
                  <c:v>334.56</c:v>
                </c:pt>
                <c:pt idx="2">
                  <c:v>341.25119999999998</c:v>
                </c:pt>
                <c:pt idx="3">
                  <c:v>348.07622399999997</c:v>
                </c:pt>
                <c:pt idx="4">
                  <c:v>355.03774848</c:v>
                </c:pt>
                <c:pt idx="5">
                  <c:v>362.13850344960002</c:v>
                </c:pt>
                <c:pt idx="6">
                  <c:v>369.38127351859202</c:v>
                </c:pt>
                <c:pt idx="7">
                  <c:v>376.76889898896377</c:v>
                </c:pt>
                <c:pt idx="8">
                  <c:v>384.30427696874307</c:v>
                </c:pt>
                <c:pt idx="9">
                  <c:v>391.99036250811798</c:v>
                </c:pt>
                <c:pt idx="10">
                  <c:v>399.83016975828031</c:v>
                </c:pt>
                <c:pt idx="11">
                  <c:v>407.82677315344586</c:v>
                </c:pt>
                <c:pt idx="12">
                  <c:v>415.98330861651482</c:v>
                </c:pt>
                <c:pt idx="13">
                  <c:v>424.30297478884512</c:v>
                </c:pt>
                <c:pt idx="14">
                  <c:v>432.78903428462206</c:v>
                </c:pt>
                <c:pt idx="15">
                  <c:v>441.44481497031438</c:v>
                </c:pt>
                <c:pt idx="16">
                  <c:v>450.27371126972076</c:v>
                </c:pt>
                <c:pt idx="17">
                  <c:v>459.2791854951152</c:v>
                </c:pt>
                <c:pt idx="18">
                  <c:v>468.46476920501743</c:v>
                </c:pt>
                <c:pt idx="19">
                  <c:v>477.83406458911776</c:v>
                </c:pt>
                <c:pt idx="20">
                  <c:v>0</c:v>
                </c:pt>
                <c:pt idx="21">
                  <c:v>0</c:v>
                </c:pt>
                <c:pt idx="22">
                  <c:v>0</c:v>
                </c:pt>
                <c:pt idx="23">
                  <c:v>0</c:v>
                </c:pt>
                <c:pt idx="24">
                  <c:v>0</c:v>
                </c:pt>
              </c:numCache>
            </c:numRef>
          </c:val>
          <c:extLst>
            <c:ext xmlns:c16="http://schemas.microsoft.com/office/drawing/2014/chart" uri="{C3380CC4-5D6E-409C-BE32-E72D297353CC}">
              <c16:uniqueId val="{00000004-8194-8F46-9CDA-2D6AC13F21D8}"/>
            </c:ext>
          </c:extLst>
        </c:ser>
        <c:ser>
          <c:idx val="5"/>
          <c:order val="4"/>
          <c:tx>
            <c:strRef>
              <c:f>'Pro Forma'!$A$30</c:f>
              <c:strCache>
                <c:ptCount val="1"/>
                <c:pt idx="0">
                  <c:v>Admin/Financial/Legal Management</c:v>
                </c:pt>
              </c:strCache>
            </c:strRef>
          </c:tx>
          <c:spPr>
            <a:solidFill>
              <a:srgbClr val="FF8080"/>
            </a:solidFill>
            <a:ln w="25400">
              <a:noFill/>
            </a:ln>
          </c:spPr>
          <c:invertIfNegative val="0"/>
          <c:val>
            <c:numRef>
              <c:f>'Pro Forma'!$C$30:$AA$30</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8194-8F46-9CDA-2D6AC13F21D8}"/>
            </c:ext>
          </c:extLst>
        </c:ser>
        <c:ser>
          <c:idx val="7"/>
          <c:order val="5"/>
          <c:tx>
            <c:strRef>
              <c:f>'Pro Forma'!$A$33</c:f>
              <c:strCache>
                <c:ptCount val="1"/>
                <c:pt idx="0">
                  <c:v>Decomm. Fund Pre-Warranty Expiration</c:v>
                </c:pt>
              </c:strCache>
            </c:strRef>
          </c:tx>
          <c:spPr>
            <a:solidFill>
              <a:srgbClr val="0080C0"/>
            </a:solidFill>
            <a:ln w="25400">
              <a:noFill/>
            </a:ln>
          </c:spPr>
          <c:invertIfNegative val="0"/>
          <c:val>
            <c:numRef>
              <c:f>'Pro Forma'!$C$33:$AA$33</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8194-8F46-9CDA-2D6AC13F21D8}"/>
            </c:ext>
          </c:extLst>
        </c:ser>
        <c:ser>
          <c:idx val="8"/>
          <c:order val="6"/>
          <c:tx>
            <c:strRef>
              <c:f>'Pro Forma'!$A$34</c:f>
              <c:strCache>
                <c:ptCount val="1"/>
                <c:pt idx="0">
                  <c:v>Decomm. Fund Post-Warranty Expiration</c:v>
                </c:pt>
              </c:strCache>
            </c:strRef>
          </c:tx>
          <c:spPr>
            <a:solidFill>
              <a:srgbClr val="000080"/>
            </a:solidFill>
            <a:ln w="25400">
              <a:noFill/>
            </a:ln>
          </c:spPr>
          <c:invertIfNegative val="0"/>
          <c:val>
            <c:numRef>
              <c:f>'Pro Forma'!$C$34:$AA$34</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8194-8F46-9CDA-2D6AC13F21D8}"/>
            </c:ext>
          </c:extLst>
        </c:ser>
        <c:ser>
          <c:idx val="9"/>
          <c:order val="7"/>
          <c:tx>
            <c:strRef>
              <c:f>'Pro Forma'!$A$35</c:f>
              <c:strCache>
                <c:ptCount val="1"/>
                <c:pt idx="0">
                  <c:v>Other Expense</c:v>
                </c:pt>
              </c:strCache>
            </c:strRef>
          </c:tx>
          <c:spPr>
            <a:solidFill>
              <a:srgbClr val="FF00FF"/>
            </a:solidFill>
            <a:ln w="25400">
              <a:noFill/>
            </a:ln>
          </c:spPr>
          <c:invertIfNegative val="0"/>
          <c:val>
            <c:numRef>
              <c:f>'Pro Forma'!$C$35:$AA$35</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8194-8F46-9CDA-2D6AC13F21D8}"/>
            </c:ext>
          </c:extLst>
        </c:ser>
        <c:ser>
          <c:idx val="10"/>
          <c:order val="8"/>
          <c:tx>
            <c:strRef>
              <c:f>'Pro Forma'!$A$41</c:f>
              <c:strCache>
                <c:ptCount val="1"/>
                <c:pt idx="0">
                  <c:v>Debt Interest Payment</c:v>
                </c:pt>
              </c:strCache>
            </c:strRef>
          </c:tx>
          <c:spPr>
            <a:solidFill>
              <a:srgbClr val="FFFF00"/>
            </a:solidFill>
            <a:ln w="25400">
              <a:noFill/>
            </a:ln>
          </c:spPr>
          <c:invertIfNegative val="0"/>
          <c:val>
            <c:numRef>
              <c:f>'Pro Forma'!$C$41:$AA$41</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8194-8F46-9CDA-2D6AC13F21D8}"/>
            </c:ext>
          </c:extLst>
        </c:ser>
        <c:ser>
          <c:idx val="11"/>
          <c:order val="9"/>
          <c:tx>
            <c:strRef>
              <c:f>'Pro Forma'!$A$53</c:f>
              <c:strCache>
                <c:ptCount val="1"/>
                <c:pt idx="0">
                  <c:v>Less Debt Principal Payment</c:v>
                </c:pt>
              </c:strCache>
            </c:strRef>
          </c:tx>
          <c:invertIfNegative val="0"/>
          <c:val>
            <c:numRef>
              <c:f>'Pro Forma'!$C$53:$AA$53</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8194-8F46-9CDA-2D6AC13F21D8}"/>
            </c:ext>
          </c:extLst>
        </c:ser>
        <c:ser>
          <c:idx val="12"/>
          <c:order val="10"/>
          <c:tx>
            <c:strRef>
              <c:f>'Pro Forma'!$A$40</c:f>
              <c:strCache>
                <c:ptCount val="1"/>
                <c:pt idx="0">
                  <c:v>Depreciation</c:v>
                </c:pt>
              </c:strCache>
            </c:strRef>
          </c:tx>
          <c:spPr>
            <a:solidFill>
              <a:srgbClr val="800080"/>
            </a:solidFill>
            <a:ln w="25400">
              <a:noFill/>
            </a:ln>
          </c:spPr>
          <c:invertIfNegative val="0"/>
          <c:val>
            <c:numRef>
              <c:f>'Pro Forma'!$C$40:$V$40</c:f>
              <c:numCache>
                <c:formatCode>#,##0_);[Red]\(#,##0\)</c:formatCode>
                <c:ptCount val="20"/>
                <c:pt idx="0">
                  <c:v>3900</c:v>
                </c:pt>
                <c:pt idx="1">
                  <c:v>3900</c:v>
                </c:pt>
                <c:pt idx="2">
                  <c:v>3900</c:v>
                </c:pt>
                <c:pt idx="3">
                  <c:v>3900</c:v>
                </c:pt>
                <c:pt idx="4">
                  <c:v>3900</c:v>
                </c:pt>
                <c:pt idx="5">
                  <c:v>3900</c:v>
                </c:pt>
                <c:pt idx="6">
                  <c:v>3900</c:v>
                </c:pt>
                <c:pt idx="7">
                  <c:v>3900</c:v>
                </c:pt>
                <c:pt idx="8">
                  <c:v>3900</c:v>
                </c:pt>
                <c:pt idx="9">
                  <c:v>3900</c:v>
                </c:pt>
                <c:pt idx="10">
                  <c:v>3900</c:v>
                </c:pt>
                <c:pt idx="11">
                  <c:v>3900</c:v>
                </c:pt>
                <c:pt idx="12">
                  <c:v>3900</c:v>
                </c:pt>
                <c:pt idx="13">
                  <c:v>3900</c:v>
                </c:pt>
                <c:pt idx="14">
                  <c:v>3900</c:v>
                </c:pt>
                <c:pt idx="15">
                  <c:v>3900</c:v>
                </c:pt>
                <c:pt idx="16">
                  <c:v>3900</c:v>
                </c:pt>
                <c:pt idx="17">
                  <c:v>3900</c:v>
                </c:pt>
                <c:pt idx="18">
                  <c:v>3900</c:v>
                </c:pt>
                <c:pt idx="19">
                  <c:v>3900</c:v>
                </c:pt>
              </c:numCache>
            </c:numRef>
          </c:val>
          <c:extLst>
            <c:ext xmlns:c16="http://schemas.microsoft.com/office/drawing/2014/chart" uri="{C3380CC4-5D6E-409C-BE32-E72D297353CC}">
              <c16:uniqueId val="{0000000C-8194-8F46-9CDA-2D6AC13F21D8}"/>
            </c:ext>
          </c:extLst>
        </c:ser>
        <c:ser>
          <c:idx val="3"/>
          <c:order val="11"/>
          <c:tx>
            <c:strRef>
              <c:f>'Pro Forma'!$A$28</c:f>
              <c:strCache>
                <c:ptCount val="1"/>
                <c:pt idx="0">
                  <c:v>Property Tax</c:v>
                </c:pt>
              </c:strCache>
            </c:strRef>
          </c:tx>
          <c:invertIfNegative val="0"/>
          <c:val>
            <c:numRef>
              <c:f>'Pro Forma'!$C$28:$AA$28</c:f>
              <c:numCache>
                <c:formatCode>#,##0_);[Red]\(#,##0\)</c:formatCode>
                <c:ptCount val="25"/>
                <c:pt idx="0">
                  <c:v>198</c:v>
                </c:pt>
                <c:pt idx="1">
                  <c:v>196.01999999999998</c:v>
                </c:pt>
                <c:pt idx="2">
                  <c:v>194.0598</c:v>
                </c:pt>
                <c:pt idx="3">
                  <c:v>192.119202</c:v>
                </c:pt>
                <c:pt idx="4">
                  <c:v>190.19800997999999</c:v>
                </c:pt>
                <c:pt idx="5">
                  <c:v>188.29602988019997</c:v>
                </c:pt>
                <c:pt idx="6">
                  <c:v>186.41306958139799</c:v>
                </c:pt>
                <c:pt idx="7">
                  <c:v>184.54893888558399</c:v>
                </c:pt>
                <c:pt idx="8">
                  <c:v>182.70344949672815</c:v>
                </c:pt>
                <c:pt idx="9">
                  <c:v>180.87641500176085</c:v>
                </c:pt>
                <c:pt idx="10">
                  <c:v>179.06765085174325</c:v>
                </c:pt>
                <c:pt idx="11">
                  <c:v>177.27697434322582</c:v>
                </c:pt>
                <c:pt idx="12">
                  <c:v>175.50420459979355</c:v>
                </c:pt>
                <c:pt idx="13">
                  <c:v>173.74916255379563</c:v>
                </c:pt>
                <c:pt idx="14">
                  <c:v>172.01167092825767</c:v>
                </c:pt>
                <c:pt idx="15">
                  <c:v>170.29155421897508</c:v>
                </c:pt>
                <c:pt idx="16">
                  <c:v>168.58863867678534</c:v>
                </c:pt>
                <c:pt idx="17">
                  <c:v>166.90275229001747</c:v>
                </c:pt>
                <c:pt idx="18">
                  <c:v>165.23372476711728</c:v>
                </c:pt>
                <c:pt idx="19">
                  <c:v>163.58138751944614</c:v>
                </c:pt>
                <c:pt idx="20">
                  <c:v>0</c:v>
                </c:pt>
                <c:pt idx="21">
                  <c:v>0</c:v>
                </c:pt>
                <c:pt idx="22">
                  <c:v>0</c:v>
                </c:pt>
                <c:pt idx="23">
                  <c:v>0</c:v>
                </c:pt>
                <c:pt idx="24">
                  <c:v>0</c:v>
                </c:pt>
              </c:numCache>
            </c:numRef>
          </c:val>
          <c:extLst>
            <c:ext xmlns:c16="http://schemas.microsoft.com/office/drawing/2014/chart" uri="{C3380CC4-5D6E-409C-BE32-E72D297353CC}">
              <c16:uniqueId val="{0000000D-8194-8F46-9CDA-2D6AC13F21D8}"/>
            </c:ext>
          </c:extLst>
        </c:ser>
        <c:dLbls>
          <c:showLegendKey val="0"/>
          <c:showVal val="0"/>
          <c:showCatName val="0"/>
          <c:showSerName val="0"/>
          <c:showPercent val="0"/>
          <c:showBubbleSize val="0"/>
        </c:dLbls>
        <c:gapWidth val="50"/>
        <c:overlap val="100"/>
        <c:axId val="533829360"/>
        <c:axId val="533834456"/>
      </c:barChart>
      <c:catAx>
        <c:axId val="5338293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46503889303901752"/>
              <c:y val="0.9282219058132155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4456"/>
        <c:crosses val="autoZero"/>
        <c:auto val="1"/>
        <c:lblAlgn val="ctr"/>
        <c:lblOffset val="100"/>
        <c:tickLblSkip val="1"/>
        <c:tickMarkSkip val="1"/>
        <c:noMultiLvlLbl val="0"/>
      </c:catAx>
      <c:valAx>
        <c:axId val="533834456"/>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Expense ($)</a:t>
                </a:r>
              </a:p>
            </c:rich>
          </c:tx>
          <c:layout>
            <c:manualLayout>
              <c:xMode val="edge"/>
              <c:yMode val="edge"/>
              <c:x val="2.4417255226260592E-2"/>
              <c:y val="0.4388255182086272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29360"/>
        <c:crosses val="autoZero"/>
        <c:crossBetween val="between"/>
      </c:valAx>
      <c:spPr>
        <a:noFill/>
        <a:ln w="12700">
          <a:solidFill>
            <a:srgbClr val="808080"/>
          </a:solidFill>
          <a:prstDash val="solid"/>
        </a:ln>
      </c:spPr>
    </c:plotArea>
    <c:legend>
      <c:legendPos val="r"/>
      <c:layout>
        <c:manualLayout>
          <c:xMode val="edge"/>
          <c:yMode val="edge"/>
          <c:x val="0.86053412752586722"/>
          <c:y val="0.27375565047825756"/>
          <c:w val="0.1394658418221176"/>
          <c:h val="0.3523844768799205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Total Net Tax Benefit or Liability</a:t>
            </a:r>
          </a:p>
        </c:rich>
      </c:tx>
      <c:layout>
        <c:manualLayout>
          <c:xMode val="edge"/>
          <c:yMode val="edge"/>
          <c:x val="0.36293017067860678"/>
          <c:y val="1.957584716650311E-2"/>
        </c:manualLayout>
      </c:layout>
      <c:overlay val="0"/>
      <c:spPr>
        <a:noFill/>
        <a:ln w="25400">
          <a:noFill/>
        </a:ln>
      </c:spPr>
    </c:title>
    <c:autoTitleDeleted val="0"/>
    <c:plotArea>
      <c:layout>
        <c:manualLayout>
          <c:layoutTarget val="inner"/>
          <c:xMode val="edge"/>
          <c:yMode val="edge"/>
          <c:x val="0.10654827968923418"/>
          <c:y val="0.12071778140293637"/>
          <c:w val="0.85349611542730297"/>
          <c:h val="0.75856443719412725"/>
        </c:manualLayout>
      </c:layout>
      <c:barChart>
        <c:barDir val="col"/>
        <c:grouping val="clustered"/>
        <c:varyColors val="0"/>
        <c:ser>
          <c:idx val="6"/>
          <c:order val="0"/>
          <c:spPr>
            <a:solidFill>
              <a:srgbClr val="0080C0"/>
            </a:solidFill>
            <a:ln w="25400">
              <a:noFill/>
            </a:ln>
          </c:spPr>
          <c:invertIfNegative val="0"/>
          <c:val>
            <c:numRef>
              <c:f>'Pro Forma'!$C$49:$AA$49</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1A48-0347-B07D-64A3340D666D}"/>
            </c:ext>
          </c:extLst>
        </c:ser>
        <c:dLbls>
          <c:showLegendKey val="0"/>
          <c:showVal val="0"/>
          <c:showCatName val="0"/>
          <c:showSerName val="0"/>
          <c:showPercent val="0"/>
          <c:showBubbleSize val="0"/>
        </c:dLbls>
        <c:gapWidth val="50"/>
        <c:axId val="533833280"/>
        <c:axId val="533829752"/>
      </c:barChart>
      <c:catAx>
        <c:axId val="5338332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1498325511020571"/>
              <c:y val="0.92822183448393036"/>
            </c:manualLayout>
          </c:layout>
          <c:overlay val="0"/>
          <c:spPr>
            <a:noFill/>
            <a:ln w="25400">
              <a:noFill/>
            </a:ln>
          </c:spPr>
        </c:title>
        <c:numFmt formatCode="General" sourceLinked="1"/>
        <c:majorTickMark val="none"/>
        <c:minorTickMark val="none"/>
        <c:tickLblPos val="low"/>
        <c:spPr>
          <a:ln w="254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533829752"/>
        <c:crosses val="autoZero"/>
        <c:auto val="1"/>
        <c:lblAlgn val="ctr"/>
        <c:lblOffset val="100"/>
        <c:tickLblSkip val="1"/>
        <c:tickMarkSkip val="1"/>
        <c:noMultiLvlLbl val="0"/>
      </c:catAx>
      <c:valAx>
        <c:axId val="5338297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Tax (€)</a:t>
                </a:r>
              </a:p>
            </c:rich>
          </c:tx>
          <c:layout>
            <c:manualLayout>
              <c:xMode val="edge"/>
              <c:yMode val="edge"/>
              <c:x val="2.219751948379356E-2"/>
              <c:y val="0.461664025204489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32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Returns to Investors</a:t>
            </a:r>
          </a:p>
        </c:rich>
      </c:tx>
      <c:layout>
        <c:manualLayout>
          <c:xMode val="edge"/>
          <c:yMode val="edge"/>
          <c:x val="0.41065491272129351"/>
          <c:y val="1.9575940827960603E-2"/>
        </c:manualLayout>
      </c:layout>
      <c:overlay val="0"/>
      <c:spPr>
        <a:noFill/>
        <a:ln w="25400">
          <a:noFill/>
        </a:ln>
      </c:spPr>
    </c:title>
    <c:autoTitleDeleted val="0"/>
    <c:plotArea>
      <c:layout>
        <c:manualLayout>
          <c:layoutTarget val="inner"/>
          <c:xMode val="edge"/>
          <c:yMode val="edge"/>
          <c:x val="0.11653718091009989"/>
          <c:y val="0.11908646003262642"/>
          <c:w val="0.87236403995560485"/>
          <c:h val="0.71451876019575855"/>
        </c:manualLayout>
      </c:layout>
      <c:barChart>
        <c:barDir val="col"/>
        <c:grouping val="clustered"/>
        <c:varyColors val="0"/>
        <c:ser>
          <c:idx val="0"/>
          <c:order val="0"/>
          <c:tx>
            <c:strRef>
              <c:f>'Pro Forma'!$A$57</c:f>
              <c:strCache>
                <c:ptCount val="1"/>
                <c:pt idx="0">
                  <c:v>Local Owner Return</c:v>
                </c:pt>
              </c:strCache>
            </c:strRef>
          </c:tx>
          <c:spPr>
            <a:solidFill>
              <a:srgbClr val="8080FF"/>
            </a:solidFill>
            <a:ln w="25400">
              <a:noFill/>
            </a:ln>
          </c:spPr>
          <c:invertIfNegative val="0"/>
          <c:val>
            <c:numRef>
              <c:f>'Pro Forma'!$C$57:$AA$57</c:f>
              <c:numCache>
                <c:formatCode>#,##0_);[Red]\(#,##0\)</c:formatCode>
                <c:ptCount val="25"/>
                <c:pt idx="0">
                  <c:v>7671.1520000000019</c:v>
                </c:pt>
                <c:pt idx="1">
                  <c:v>7549.5466496000026</c:v>
                </c:pt>
                <c:pt idx="2">
                  <c:v>7424.5778769920007</c:v>
                </c:pt>
                <c:pt idx="3">
                  <c:v>7296.189791266881</c:v>
                </c:pt>
                <c:pt idx="4">
                  <c:v>7164.3256824945611</c:v>
                </c:pt>
                <c:pt idx="5">
                  <c:v>7028.9280104474892</c:v>
                </c:pt>
                <c:pt idx="6">
                  <c:v>6889.9383931688753</c:v>
                </c:pt>
                <c:pt idx="7">
                  <c:v>6747.2975953833948</c:v>
                </c:pt>
                <c:pt idx="8">
                  <c:v>6600.9455167483075</c:v>
                </c:pt>
                <c:pt idx="9">
                  <c:v>6450.8211799425426</c:v>
                </c:pt>
                <c:pt idx="10">
                  <c:v>6296.8627185916639</c:v>
                </c:pt>
                <c:pt idx="11">
                  <c:v>6139.0073650262666</c:v>
                </c:pt>
                <c:pt idx="12">
                  <c:v>5977.1914378715401</c:v>
                </c:pt>
                <c:pt idx="13">
                  <c:v>5811.3503294655402</c:v>
                </c:pt>
                <c:pt idx="14">
                  <c:v>5641.4184931038335</c:v>
                </c:pt>
                <c:pt idx="15">
                  <c:v>5467.3294301079941</c:v>
                </c:pt>
                <c:pt idx="16">
                  <c:v>5289.0156767155077</c:v>
                </c:pt>
                <c:pt idx="17">
                  <c:v>5106.4087907885068</c:v>
                </c:pt>
                <c:pt idx="18">
                  <c:v>4919.4393383388251</c:v>
                </c:pt>
                <c:pt idx="19">
                  <c:v>4728.0368798667314</c:v>
                </c:pt>
                <c:pt idx="20">
                  <c:v>0</c:v>
                </c:pt>
                <c:pt idx="21">
                  <c:v>0</c:v>
                </c:pt>
                <c:pt idx="22">
                  <c:v>0</c:v>
                </c:pt>
                <c:pt idx="23">
                  <c:v>0</c:v>
                </c:pt>
                <c:pt idx="24">
                  <c:v>0</c:v>
                </c:pt>
              </c:numCache>
            </c:numRef>
          </c:val>
          <c:extLst>
            <c:ext xmlns:c16="http://schemas.microsoft.com/office/drawing/2014/chart" uri="{C3380CC4-5D6E-409C-BE32-E72D297353CC}">
              <c16:uniqueId val="{00000000-E857-0C44-BEDE-9414FE92F7BC}"/>
            </c:ext>
          </c:extLst>
        </c:ser>
        <c:ser>
          <c:idx val="1"/>
          <c:order val="1"/>
          <c:tx>
            <c:strRef>
              <c:f>'Pro Forma'!$A$58</c:f>
              <c:strCache>
                <c:ptCount val="1"/>
                <c:pt idx="0">
                  <c:v>Equity Investor Return</c:v>
                </c:pt>
              </c:strCache>
            </c:strRef>
          </c:tx>
          <c:spPr>
            <a:solidFill>
              <a:srgbClr val="802060"/>
            </a:solidFill>
            <a:ln w="25400">
              <a:noFill/>
            </a:ln>
          </c:spPr>
          <c:invertIfNegative val="0"/>
          <c:val>
            <c:numRef>
              <c:f>'Pro Forma'!$C$58:$AA$58</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E857-0C44-BEDE-9414FE92F7BC}"/>
            </c:ext>
          </c:extLst>
        </c:ser>
        <c:dLbls>
          <c:showLegendKey val="0"/>
          <c:showVal val="0"/>
          <c:showCatName val="0"/>
          <c:showSerName val="0"/>
          <c:showPercent val="0"/>
          <c:showBubbleSize val="0"/>
        </c:dLbls>
        <c:gapWidth val="50"/>
        <c:axId val="533832104"/>
        <c:axId val="533827792"/>
      </c:barChart>
      <c:catAx>
        <c:axId val="5338321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3496110696098242"/>
              <c:y val="0.8776508586593856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27792"/>
        <c:crosses val="autoZero"/>
        <c:auto val="1"/>
        <c:lblAlgn val="ctr"/>
        <c:lblOffset val="100"/>
        <c:tickLblSkip val="1"/>
        <c:tickMarkSkip val="1"/>
        <c:noMultiLvlLbl val="0"/>
      </c:catAx>
      <c:valAx>
        <c:axId val="5338277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Return (€)</a:t>
                </a:r>
              </a:p>
            </c:rich>
          </c:tx>
          <c:layout>
            <c:manualLayout>
              <c:xMode val="edge"/>
              <c:yMode val="edge"/>
              <c:x val="2.2197662523636658E-2"/>
              <c:y val="0.42414360702712406"/>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2104"/>
        <c:crosses val="autoZero"/>
        <c:crossBetween val="between"/>
      </c:valAx>
      <c:spPr>
        <a:noFill/>
        <a:ln w="12700">
          <a:solidFill>
            <a:srgbClr val="808080"/>
          </a:solidFill>
          <a:prstDash val="solid"/>
        </a:ln>
      </c:spPr>
    </c:plotArea>
    <c:legend>
      <c:legendPos val="r"/>
      <c:layout>
        <c:manualLayout>
          <c:xMode val="edge"/>
          <c:yMode val="edge"/>
          <c:x val="0.39169134959761953"/>
          <c:y val="0.95475120119879908"/>
          <c:w val="0.33679528907908973"/>
          <c:h val="4.0723972248441487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layout>
        <c:manualLayout>
          <c:xMode val="edge"/>
          <c:yMode val="edge"/>
          <c:x val="0.36182018533159765"/>
          <c:y val="1.9575940827960603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10654827968923418"/>
          <c:y val="0.12071778140293637"/>
          <c:w val="0.88235294117647056"/>
          <c:h val="0.77977161500815662"/>
        </c:manualLayout>
      </c:layout>
      <c:barChart>
        <c:barDir val="col"/>
        <c:grouping val="clustered"/>
        <c:varyColors val="0"/>
        <c:ser>
          <c:idx val="0"/>
          <c:order val="0"/>
          <c:tx>
            <c:strRef>
              <c:f>'Pro Forma'!$A$55</c:f>
              <c:strCache>
                <c:ptCount val="1"/>
                <c:pt idx="0">
                  <c:v>Net After-Tax Project Cash Flow</c:v>
                </c:pt>
              </c:strCache>
            </c:strRef>
          </c:tx>
          <c:spPr>
            <a:solidFill>
              <a:srgbClr val="8080FF"/>
            </a:solidFill>
            <a:ln w="25400">
              <a:noFill/>
            </a:ln>
          </c:spPr>
          <c:invertIfNegative val="0"/>
          <c:val>
            <c:numRef>
              <c:f>'Pro Forma'!$C$55:$AA$55</c:f>
              <c:numCache>
                <c:formatCode>#,##0_);[Red]\(#,##0\)</c:formatCode>
                <c:ptCount val="25"/>
                <c:pt idx="0">
                  <c:v>7020.1520000000019</c:v>
                </c:pt>
                <c:pt idx="1">
                  <c:v>6887.141649600002</c:v>
                </c:pt>
                <c:pt idx="2">
                  <c:v>6750.5640019920011</c:v>
                </c:pt>
                <c:pt idx="3">
                  <c:v>6610.3594521418809</c:v>
                </c:pt>
                <c:pt idx="4">
                  <c:v>6466.4675071626862</c:v>
                </c:pt>
                <c:pt idx="5">
                  <c:v>6318.8267737432361</c:v>
                </c:pt>
                <c:pt idx="6">
                  <c:v>6167.3749453968103</c:v>
                </c:pt>
                <c:pt idx="7">
                  <c:v>6012.0487895271563</c:v>
                </c:pt>
                <c:pt idx="8">
                  <c:v>5852.7841343092814</c:v>
                </c:pt>
                <c:pt idx="9">
                  <c:v>5689.5158553820866</c:v>
                </c:pt>
                <c:pt idx="10">
                  <c:v>5522.1778623502605</c:v>
                </c:pt>
                <c:pt idx="11">
                  <c:v>5350.7030850924511</c:v>
                </c:pt>
                <c:pt idx="12">
                  <c:v>5175.0234598729503</c:v>
                </c:pt>
                <c:pt idx="13">
                  <c:v>4995.0699152538891</c:v>
                </c:pt>
                <c:pt idx="14">
                  <c:v>4810.7723578050627</c:v>
                </c:pt>
                <c:pt idx="15">
                  <c:v>4622.059657608319</c:v>
                </c:pt>
                <c:pt idx="16">
                  <c:v>4428.8596335534867</c:v>
                </c:pt>
                <c:pt idx="17">
                  <c:v>4231.0990384227061</c:v>
                </c:pt>
                <c:pt idx="18">
                  <c:v>4028.7035437600616</c:v>
                </c:pt>
                <c:pt idx="19">
                  <c:v>3821.5977245232625</c:v>
                </c:pt>
                <c:pt idx="20">
                  <c:v>0</c:v>
                </c:pt>
                <c:pt idx="21">
                  <c:v>0</c:v>
                </c:pt>
                <c:pt idx="22">
                  <c:v>0</c:v>
                </c:pt>
                <c:pt idx="23">
                  <c:v>0</c:v>
                </c:pt>
                <c:pt idx="24">
                  <c:v>0</c:v>
                </c:pt>
              </c:numCache>
            </c:numRef>
          </c:val>
          <c:extLst>
            <c:ext xmlns:c16="http://schemas.microsoft.com/office/drawing/2014/chart" uri="{C3380CC4-5D6E-409C-BE32-E72D297353CC}">
              <c16:uniqueId val="{00000000-EF4A-B845-AD6E-97B64316E402}"/>
            </c:ext>
          </c:extLst>
        </c:ser>
        <c:dLbls>
          <c:showLegendKey val="0"/>
          <c:showVal val="0"/>
          <c:showCatName val="0"/>
          <c:showSerName val="0"/>
          <c:showPercent val="0"/>
          <c:showBubbleSize val="0"/>
        </c:dLbls>
        <c:gapWidth val="50"/>
        <c:axId val="533836024"/>
        <c:axId val="533837592"/>
      </c:barChart>
      <c:catAx>
        <c:axId val="5338360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2941174556436688"/>
              <c:y val="0.9445351009575815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7592"/>
        <c:crosses val="autoZero"/>
        <c:auto val="1"/>
        <c:lblAlgn val="ctr"/>
        <c:lblOffset val="100"/>
        <c:tickLblSkip val="1"/>
        <c:tickMarkSkip val="1"/>
        <c:noMultiLvlLbl val="0"/>
      </c:catAx>
      <c:valAx>
        <c:axId val="5338375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Cash Flow (€)</a:t>
                </a:r>
              </a:p>
            </c:rich>
          </c:tx>
          <c:layout>
            <c:manualLayout>
              <c:xMode val="edge"/>
              <c:yMode val="edge"/>
              <c:x val="1.2208681847423963E-2"/>
              <c:y val="0.4388255182086272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602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GB"/>
              <a:t>Running Internal Rate of Return</a:t>
            </a:r>
          </a:p>
        </c:rich>
      </c:tx>
      <c:layout>
        <c:manualLayout>
          <c:xMode val="edge"/>
          <c:yMode val="edge"/>
          <c:x val="0.36293003591720335"/>
          <c:y val="1.9575940827960603E-2"/>
        </c:manualLayout>
      </c:layout>
      <c:overlay val="0"/>
      <c:spPr>
        <a:noFill/>
        <a:ln w="25400">
          <a:noFill/>
        </a:ln>
      </c:spPr>
    </c:title>
    <c:autoTitleDeleted val="0"/>
    <c:plotArea>
      <c:layout>
        <c:manualLayout>
          <c:layoutTarget val="inner"/>
          <c:xMode val="edge"/>
          <c:yMode val="edge"/>
          <c:x val="7.9911209766925645E-2"/>
          <c:y val="0.12071778140293637"/>
          <c:w val="0.90899001109877908"/>
          <c:h val="0.7373572593800978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'Pro Forma'!$C$67:$AA$67</c:f>
              <c:numCache>
                <c:formatCode>0%</c:formatCode>
                <c:ptCount val="25"/>
                <c:pt idx="0">
                  <c:v>-0.90165189743589735</c:v>
                </c:pt>
                <c:pt idx="1">
                  <c:v>-0.63585428819950507</c:v>
                </c:pt>
                <c:pt idx="2">
                  <c:v>-0.43379501249034214</c:v>
                </c:pt>
                <c:pt idx="3">
                  <c:v>-0.29876822571497308</c:v>
                </c:pt>
                <c:pt idx="4">
                  <c:v>-0.20740517037528439</c:v>
                </c:pt>
                <c:pt idx="5">
                  <c:v>-0.14358662661961941</c:v>
                </c:pt>
                <c:pt idx="6">
                  <c:v>-9.7583999831814983E-2</c:v>
                </c:pt>
                <c:pt idx="7">
                  <c:v>-6.350045145917238E-2</c:v>
                </c:pt>
                <c:pt idx="8">
                  <c:v>-3.7653397480816975E-2</c:v>
                </c:pt>
                <c:pt idx="9">
                  <c:v>-1.7664545158252776E-2</c:v>
                </c:pt>
                <c:pt idx="10">
                  <c:v>-1.9483954313872509E-3</c:v>
                </c:pt>
                <c:pt idx="11">
                  <c:v>1.0582688499868542E-2</c:v>
                </c:pt>
                <c:pt idx="12">
                  <c:v>2.0693970552103425E-2</c:v>
                </c:pt>
                <c:pt idx="13">
                  <c:v>2.8936086608408962E-2</c:v>
                </c:pt>
                <c:pt idx="14">
                  <c:v>3.5713166425008547E-2</c:v>
                </c:pt>
                <c:pt idx="15">
                  <c:v>4.1327074868867442E-2</c:v>
                </c:pt>
                <c:pt idx="16">
                  <c:v>4.6006850929279697E-2</c:v>
                </c:pt>
                <c:pt idx="17">
                  <c:v>4.9928732109796758E-2</c:v>
                </c:pt>
                <c:pt idx="18">
                  <c:v>5.3230048271882158E-2</c:v>
                </c:pt>
                <c:pt idx="19">
                  <c:v>5.6019036915897047E-2</c:v>
                </c:pt>
                <c:pt idx="20">
                  <c:v>5.6019036915898823E-2</c:v>
                </c:pt>
                <c:pt idx="21">
                  <c:v>5.6019036915898823E-2</c:v>
                </c:pt>
                <c:pt idx="22">
                  <c:v>5.6019036915898823E-2</c:v>
                </c:pt>
                <c:pt idx="23">
                  <c:v>5.6019036915898823E-2</c:v>
                </c:pt>
                <c:pt idx="24">
                  <c:v>5.6019036915898823E-2</c:v>
                </c:pt>
              </c:numCache>
            </c:numRef>
          </c:val>
          <c:smooth val="0"/>
          <c:extLst>
            <c:ext xmlns:c16="http://schemas.microsoft.com/office/drawing/2014/chart" uri="{C3380CC4-5D6E-409C-BE32-E72D297353CC}">
              <c16:uniqueId val="{00000000-9885-7245-B5C0-747E1497BAF3}"/>
            </c:ext>
          </c:extLst>
        </c:ser>
        <c:ser>
          <c:idx val="1"/>
          <c:order val="1"/>
          <c:spPr>
            <a:ln w="12700">
              <a:solidFill>
                <a:srgbClr val="339933"/>
              </a:solidFill>
              <a:prstDash val="solid"/>
            </a:ln>
          </c:spPr>
          <c:marker>
            <c:symbol val="square"/>
            <c:size val="5"/>
            <c:spPr>
              <a:solidFill>
                <a:srgbClr val="339933"/>
              </a:solidFill>
              <a:ln>
                <a:solidFill>
                  <a:srgbClr val="339933"/>
                </a:solidFill>
                <a:prstDash val="solid"/>
              </a:ln>
            </c:spPr>
          </c:marker>
          <c:val>
            <c:numRef>
              <c:f>'Pro Forma'!$C$72:$AA$72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9885-7245-B5C0-747E1497BAF3}"/>
            </c:ext>
          </c:extLst>
        </c:ser>
        <c:dLbls>
          <c:showLegendKey val="0"/>
          <c:showVal val="0"/>
          <c:showCatName val="0"/>
          <c:showSerName val="0"/>
          <c:showPercent val="0"/>
          <c:showBubbleSize val="0"/>
        </c:dLbls>
        <c:marker val="1"/>
        <c:smooth val="0"/>
        <c:axId val="533830144"/>
        <c:axId val="533832496"/>
      </c:lineChart>
      <c:catAx>
        <c:axId val="5338301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1609321313133738"/>
              <c:y val="0.90212065137593478"/>
            </c:manualLayout>
          </c:layout>
          <c:overlay val="0"/>
          <c:spPr>
            <a:noFill/>
            <a:ln w="25400">
              <a:noFill/>
            </a:ln>
          </c:spPr>
        </c:title>
        <c:numFmt formatCode="General" sourceLinked="1"/>
        <c:majorTickMark val="none"/>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2496"/>
        <c:crosses val="autoZero"/>
        <c:auto val="1"/>
        <c:lblAlgn val="ctr"/>
        <c:lblOffset val="100"/>
        <c:tickLblSkip val="1"/>
        <c:tickMarkSkip val="1"/>
        <c:noMultiLvlLbl val="0"/>
      </c:catAx>
      <c:valAx>
        <c:axId val="53383249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IRR (%)</a:t>
                </a:r>
              </a:p>
            </c:rich>
          </c:tx>
          <c:layout>
            <c:manualLayout>
              <c:xMode val="edge"/>
              <c:yMode val="edge"/>
              <c:x val="1.2208681847423963E-2"/>
              <c:y val="0.450244683706535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3830144"/>
        <c:crosses val="autoZero"/>
        <c:crossBetween val="between"/>
      </c:valAx>
      <c:spPr>
        <a:noFill/>
        <a:ln w="12700">
          <a:solidFill>
            <a:srgbClr val="808080"/>
          </a:solidFill>
          <a:prstDash val="solid"/>
        </a:ln>
      </c:spPr>
    </c:plotArea>
    <c:legend>
      <c:legendPos val="r"/>
      <c:layout>
        <c:manualLayout>
          <c:xMode val="edge"/>
          <c:yMode val="edge"/>
          <c:x val="0.41839761742239806"/>
          <c:y val="0.95701352559624431"/>
          <c:w val="0.23145395958612286"/>
          <c:h val="3.619914569568205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chart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chart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workbookViewId="0"/>
  </sheetViews>
  <sheetProtection algorithmName="SHA-512" hashValue="mhaQoChuOG+NQpWzWQ3ZksO5aWfeqIWyNQidpbhW+u8Mtlbv3BSQ0q3jcZmWekQ9QYSvViW3oO+NiJ2JKhGwGg==" saltValue="W0+/igCPZm8WWKB6+lW0cw=="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10" workbookViewId="0"/>
  </sheetViews>
  <sheetProtection algorithmName="SHA-512" hashValue="6b1sErTkT9F3JyWq518ZYxg2YsjeSxgKXmqgDkeV5jsMbRNmPRKyGxUTGGq8G9fe7XAspQigAzmwK28FgRq9KA==" saltValue="BT4s2P5XNFwjuQwsrGkYNA=="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10" workbookViewId="0"/>
  </sheetViews>
  <sheetProtection algorithmName="SHA-512" hashValue="Wwnzgr8gWrQZVatSXoIl/slylyhA06L+o35L4bP4kUbJE6FMxn+2ko7gxt/0IIa/AYlXjyg5muh8tTnl8a3YUQ==" saltValue="VhqwHVk5QdhOMkaYjcpChA==" spinCount="100000" content="1" objects="1"/>
  <pageMargins left="0.75" right="0.75" top="1" bottom="1" header="0.5" footer="0.5"/>
  <pageSetup orientation="landscape" horizontalDpi="300"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110" workbookViewId="0"/>
  </sheetViews>
  <sheetProtection algorithmName="SHA-512" hashValue="z8gUdd3t5F2TQNTx8+d/4NxuxjgCEN6qW9SxHFros66CvIgRZMqLrM+D7RmzFVQng8JHcs3kb5XC2RFo+p9gDg==" saltValue="bcdLj70PPe/Bq3YyS55+Nw=="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110" workbookViewId="0"/>
  </sheetViews>
  <sheetProtection algorithmName="SHA-512" hashValue="QuBLMqS61Qtc/KY6Eg6aeLP/dVoKaXufYSl0e2DZRmMXAHtec8/5HeJcRyRt+HK5K5Xll1TTPKQyPG/aCb3gyg==" saltValue="MjXAm0I9zhLjGKT8tmrNUQ=="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sheetProtection algorithmName="SHA-512" hashValue="GhelOrqk+z9R4DCFiHNsjwVlcGS50+oQURbnIc8dVbsIDyOI0grrRkpS1sDkoNHD+eRtpaXNFj+472zJI5VdRQ==" saltValue="qofRKG+nIfLar9y8FlTq8w=="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0" workbookViewId="0"/>
  </sheetViews>
  <sheetProtection algorithmName="SHA-512" hashValue="Urf1tockTupH99XfgcEmHAP7WQBWe+15L6Jl+YswOMKkSnfUGuYZdNIK225nuKhxZChd0ZnUN0clxDiqKyHeZQ==" saltValue="DYJ736yHPYb6BGJF9DPmeg==" spinCount="100000" content="1" objects="1"/>
  <pageMargins left="0.75" right="0.75" top="1" bottom="1" header="0.5" footer="0.5"/>
  <pageSetup orientation="landscape" verticalDpi="300" r:id="rId1"/>
  <headerFooter alignWithMargins="0">
    <oddHeader>&amp;L&amp;A Page &amp;P of &amp;N</oddHeader>
    <oddFooter>&amp;L&amp;G&amp;C&amp;6 2105 1st Ave S, Minneapolis, MN 55404
Toll Free: 1-800-946-3640  Phone: 612-870-3461  Fax: 612-813-5612
info@windustry.org www.windustry.org</oddFooter>
  </headerFooter>
  <drawing r:id="rId2"/>
  <legacyDrawingHF r:id="rId3"/>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sheetProtection algorithmName="SHA-512" hashValue="u5QQmZDhoq56hwCIfzuiaiwtO0TLa9xsJqkxDG8Ixl9C4RaA2M3A0dXZ2wnMwkgq8FDDEb+7Bi3RqX3MG/W3uw==" saltValue="n9La79NNzNQIm/ouRYp8zA=="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0" workbookViewId="0"/>
  </sheetViews>
  <sheetProtection algorithmName="SHA-512" hashValue="eHfAVNRCuXbwOwVWP2o1DpRFB4VdGInZIRa5upnqX9ZA09buCPOeDwu2JnfICCiPI7rJ/A2Aha6wb9ky1g+VxQ==" saltValue="gt9Nx3G0MRQFi4/w8clB5w==" spinCount="100000" content="1" objects="1"/>
  <pageMargins left="0.75" right="0.75" top="1" bottom="1" header="0.5" footer="0.5"/>
  <pageSetup orientation="landscape" verticalDpi="300" r:id="rId1"/>
  <headerFooter alignWithMargins="0">
    <oddHeader>&amp;L&amp;A Page &amp;P of &amp;N</oddHeader>
    <oddFooter>&amp;L&amp;G&amp;C&amp;"Verdana,Regular"&amp;6 2105 1st Ave S, Minneapolis, MN 55404
Toll Free: 1-800-946-3640  Phone: 612-870-3461  Fax: 612-813-5612
info@windustry.org www.windustry.org</oddFooter>
  </headerFooter>
  <drawing r:id="rId2"/>
  <legacyDrawingHF r:id="rId3"/>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104775</xdr:colOff>
      <xdr:row>6</xdr:row>
      <xdr:rowOff>171450</xdr:rowOff>
    </xdr:from>
    <xdr:ext cx="8387168" cy="2331279"/>
    <xdr:sp macro="" textlink="">
      <xdr:nvSpPr>
        <xdr:cNvPr id="2" name="Textfeld 1">
          <a:extLst>
            <a:ext uri="{FF2B5EF4-FFF2-40B4-BE49-F238E27FC236}">
              <a16:creationId xmlns:a16="http://schemas.microsoft.com/office/drawing/2014/main" id="{E2B80FB9-4F91-4761-A08B-1D421EC86956}"/>
            </a:ext>
          </a:extLst>
        </xdr:cNvPr>
        <xdr:cNvSpPr txBox="1"/>
      </xdr:nvSpPr>
      <xdr:spPr>
        <a:xfrm>
          <a:off x="25241250" y="1866900"/>
          <a:ext cx="8387168" cy="2331279"/>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aseline="0"/>
            <a:t>Status:</a:t>
          </a:r>
        </a:p>
        <a:p>
          <a:r>
            <a:rPr lang="de-DE" sz="1100" baseline="0"/>
            <a:t>Annual hours multiplied by Availability do covers the part load of the platns operation process</a:t>
          </a:r>
        </a:p>
        <a:p>
          <a:r>
            <a:rPr lang="de-DE" sz="1100" baseline="0"/>
            <a:t>==&gt; dificult to define in a realistic way</a:t>
          </a:r>
        </a:p>
        <a:p>
          <a:endParaRPr lang="de-DE" sz="1100" baseline="0"/>
        </a:p>
        <a:p>
          <a:r>
            <a:rPr lang="de-DE" sz="1100" baseline="0"/>
            <a:t>Adjustment proposal:</a:t>
          </a:r>
        </a:p>
        <a:p>
          <a:r>
            <a:rPr lang="de-DE" sz="1100"/>
            <a:t>Instead</a:t>
          </a:r>
          <a:r>
            <a:rPr lang="de-DE" sz="1100" baseline="0"/>
            <a:t> of calculating the annual output by using Annual operating hours and availability calculating</a:t>
          </a:r>
        </a:p>
        <a:p>
          <a:r>
            <a:rPr lang="de-DE" sz="1100" baseline="0"/>
            <a:t>with the produced Energy per installed Kilowatt (depends on climate zone and the angle) makes it easier to get realistic results.</a:t>
          </a:r>
        </a:p>
        <a:p>
          <a:endParaRPr lang="de-DE" sz="1100" baseline="0"/>
        </a:p>
        <a:p>
          <a:r>
            <a:rPr lang="de-DE" sz="1100" baseline="0"/>
            <a:t>For instance Germanies value is 1.000 kWh/kWp in average (per year)</a:t>
          </a:r>
        </a:p>
        <a:p>
          <a:endParaRPr lang="de-DE" sz="1100" baseline="0"/>
        </a:p>
        <a:p>
          <a:r>
            <a:rPr lang="de-DE" sz="1100" baseline="0"/>
            <a:t>IMPORTANT: Makes sense for PV-Systems. For most of the other power generating plants the current way to get annual production rates is the</a:t>
          </a:r>
        </a:p>
        <a:p>
          <a:r>
            <a:rPr lang="de-DE" sz="1100" baseline="0"/>
            <a:t>better one. </a:t>
          </a: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0</xdr:colOff>
      <xdr:row>31</xdr:row>
      <xdr:rowOff>50800</xdr:rowOff>
    </xdr:to>
    <xdr:graphicFrame macro="">
      <xdr:nvGraphicFramePr>
        <xdr:cNvPr id="2" name="Chart 1">
          <a:extLst>
            <a:ext uri="{FF2B5EF4-FFF2-40B4-BE49-F238E27FC236}">
              <a16:creationId xmlns:a16="http://schemas.microsoft.com/office/drawing/2014/main" id="{E94C1D13-0CE0-4841-8C21-602A544B6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CF298A08-B3CB-F448-BD48-6268C1D8FA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237F1F8A-6C97-8A4D-96DA-053678C13F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AAEE3123-971F-1441-872C-5A77198B8D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CA17CEC4-F9FF-A042-86E4-F754AF8D78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4410293B-AA78-D04C-8E48-0529DF43F4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CA505BA0-F01E-394B-8531-FCB209E31E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0.28161</cdr:x>
      <cdr:y>0.05225</cdr:y>
    </cdr:from>
    <cdr:to>
      <cdr:x>0.50214</cdr:x>
      <cdr:y>0.07731</cdr:y>
    </cdr:to>
    <cdr:sp macro="" textlink="">
      <cdr:nvSpPr>
        <cdr:cNvPr id="9217" name="Text Box 1"/>
        <cdr:cNvSpPr txBox="1">
          <a:spLocks xmlns:a="http://schemas.openxmlformats.org/drawingml/2006/main" noChangeArrowheads="1"/>
        </cdr:cNvSpPr>
      </cdr:nvSpPr>
      <cdr:spPr bwMode="auto">
        <a:xfrm xmlns:a="http://schemas.openxmlformats.org/drawingml/2006/main">
          <a:off x="2414121" y="293964"/>
          <a:ext cx="1890454"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Arial"/>
              <a:cs typeface="Arial"/>
            </a:rPr>
            <a:t>(Liabilities appear as values below zero.)</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B3B9A4CC-E688-7341-95C7-40335AB0D63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A2DE9C0A-6124-9245-AD5A-07DB5475B2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9349927B-4C05-154A-91F7-84151545D2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uise\windustry\jefe\PrairieGen\wind\juhl\Suzlon%20finmodel%20nov%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AHOUTRD-UV3\tdennin$\My%20Documents\Wind\StormLa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uise\windustry\TEMP\HUBSHEET7319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CURVES"/>
      <sheetName val="ID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2"/>
  <sheetViews>
    <sheetView tabSelected="1" zoomScale="80" zoomScaleNormal="80" workbookViewId="0">
      <selection activeCell="G12" sqref="G12"/>
    </sheetView>
  </sheetViews>
  <sheetFormatPr baseColWidth="10" defaultColWidth="9.125" defaultRowHeight="15" x14ac:dyDescent="0.2"/>
  <cols>
    <col min="1" max="1" width="4.125" style="2" customWidth="1"/>
    <col min="2" max="2" width="57.375" style="2" bestFit="1" customWidth="1"/>
    <col min="3" max="3" width="19.625" style="2" customWidth="1"/>
    <col min="4" max="6" width="11.625" style="2" customWidth="1"/>
    <col min="7" max="7" width="30.625" style="2" customWidth="1"/>
    <col min="8" max="8" width="6.25" style="2" customWidth="1"/>
    <col min="9" max="9" width="46.375" style="2" bestFit="1" customWidth="1"/>
    <col min="10" max="10" width="23.625" style="2" customWidth="1"/>
    <col min="11" max="11" width="11.125" style="2" customWidth="1"/>
    <col min="12" max="12" width="10" style="2" customWidth="1"/>
    <col min="13" max="13" width="14.125" style="2" customWidth="1"/>
    <col min="14" max="14" width="27.5" style="2" customWidth="1"/>
    <col min="15" max="16384" width="9.125" style="2"/>
  </cols>
  <sheetData>
    <row r="1" spans="1:16" ht="26.25" x14ac:dyDescent="0.4">
      <c r="A1" s="96"/>
      <c r="B1" s="350" t="s">
        <v>101</v>
      </c>
      <c r="C1" s="351"/>
      <c r="F1" s="150"/>
    </row>
    <row r="2" spans="1:16" ht="15.75" thickBot="1" x14ac:dyDescent="0.25"/>
    <row r="3" spans="1:16" ht="27" thickBot="1" x14ac:dyDescent="0.45">
      <c r="B3" s="149" t="s">
        <v>100</v>
      </c>
    </row>
    <row r="4" spans="1:16" ht="31.5" x14ac:dyDescent="0.25">
      <c r="B4" s="148" t="s">
        <v>99</v>
      </c>
    </row>
    <row r="5" spans="1:16" ht="16.5" thickBot="1" x14ac:dyDescent="0.3">
      <c r="B5" s="147" t="s">
        <v>98</v>
      </c>
    </row>
    <row r="6" spans="1:16" ht="16.5" thickBot="1" x14ac:dyDescent="0.3">
      <c r="B6" s="146" t="s">
        <v>230</v>
      </c>
      <c r="K6" s="112" t="s">
        <v>90</v>
      </c>
      <c r="L6" s="81" t="s">
        <v>62</v>
      </c>
      <c r="M6" s="81" t="s">
        <v>62</v>
      </c>
      <c r="N6" s="31"/>
    </row>
    <row r="7" spans="1:16" ht="17.25" thickTop="1" thickBot="1" x14ac:dyDescent="0.3">
      <c r="D7" s="112" t="s">
        <v>90</v>
      </c>
      <c r="E7" s="81" t="s">
        <v>62</v>
      </c>
      <c r="F7" s="81" t="s">
        <v>62</v>
      </c>
      <c r="G7" s="31"/>
      <c r="I7" s="30" t="s">
        <v>97</v>
      </c>
      <c r="J7" s="29"/>
      <c r="K7" s="111" t="s">
        <v>87</v>
      </c>
      <c r="L7" s="78" t="s">
        <v>59</v>
      </c>
      <c r="M7" s="78" t="s">
        <v>58</v>
      </c>
      <c r="N7" s="27" t="s">
        <v>38</v>
      </c>
    </row>
    <row r="8" spans="1:16" ht="16.5" thickBot="1" x14ac:dyDescent="0.3">
      <c r="B8" s="96" t="s">
        <v>96</v>
      </c>
      <c r="D8" s="111" t="s">
        <v>87</v>
      </c>
      <c r="E8" s="78" t="s">
        <v>59</v>
      </c>
      <c r="F8" s="78" t="s">
        <v>58</v>
      </c>
      <c r="G8" s="27" t="s">
        <v>38</v>
      </c>
      <c r="I8" s="94" t="s">
        <v>158</v>
      </c>
      <c r="J8" s="263">
        <v>0.28000000000000003</v>
      </c>
      <c r="K8" s="264">
        <v>0.01</v>
      </c>
      <c r="L8" s="265">
        <v>1</v>
      </c>
      <c r="M8" s="265">
        <v>20</v>
      </c>
      <c r="N8" s="91"/>
    </row>
    <row r="9" spans="1:16" ht="15.75" x14ac:dyDescent="0.25">
      <c r="B9" s="26" t="s">
        <v>17</v>
      </c>
      <c r="C9" s="145" t="s">
        <v>215</v>
      </c>
      <c r="D9" s="144"/>
      <c r="E9" s="143"/>
      <c r="F9" s="142"/>
      <c r="G9" s="141"/>
    </row>
    <row r="10" spans="1:16" ht="16.5" thickBot="1" x14ac:dyDescent="0.3">
      <c r="B10" s="140" t="s">
        <v>95</v>
      </c>
      <c r="C10" s="139" t="s">
        <v>216</v>
      </c>
      <c r="D10" s="138"/>
      <c r="E10" s="137"/>
      <c r="F10" s="136"/>
      <c r="G10" s="135"/>
    </row>
    <row r="11" spans="1:16" ht="15.75" x14ac:dyDescent="0.25">
      <c r="B11" s="18" t="s">
        <v>32</v>
      </c>
      <c r="C11" s="131" t="s">
        <v>217</v>
      </c>
      <c r="D11" s="134"/>
      <c r="E11" s="133"/>
      <c r="F11" s="133"/>
      <c r="G11" s="61"/>
      <c r="K11" s="112" t="s">
        <v>90</v>
      </c>
      <c r="L11" s="81" t="s">
        <v>62</v>
      </c>
      <c r="M11" s="81" t="s">
        <v>62</v>
      </c>
      <c r="N11" s="31"/>
      <c r="P11" s="110"/>
    </row>
    <row r="12" spans="1:16" ht="16.5" thickBot="1" x14ac:dyDescent="0.3">
      <c r="B12" s="18" t="s">
        <v>153</v>
      </c>
      <c r="C12" s="130">
        <v>112</v>
      </c>
      <c r="D12" s="134"/>
      <c r="E12" s="133"/>
      <c r="F12" s="133"/>
      <c r="G12" s="61"/>
      <c r="I12" s="30" t="s">
        <v>91</v>
      </c>
      <c r="J12" s="29"/>
      <c r="K12" s="111" t="s">
        <v>87</v>
      </c>
      <c r="L12" s="78" t="s">
        <v>59</v>
      </c>
      <c r="M12" s="78" t="s">
        <v>58</v>
      </c>
      <c r="N12" s="27" t="s">
        <v>38</v>
      </c>
      <c r="P12" s="110"/>
    </row>
    <row r="13" spans="1:16" x14ac:dyDescent="0.2">
      <c r="B13" s="18" t="s">
        <v>231</v>
      </c>
      <c r="C13" s="130">
        <v>330</v>
      </c>
      <c r="D13" s="134"/>
      <c r="E13" s="133"/>
      <c r="F13" s="133"/>
      <c r="G13" s="61"/>
      <c r="I13" s="118" t="s">
        <v>89</v>
      </c>
      <c r="J13" s="252">
        <v>672</v>
      </c>
      <c r="K13" s="117">
        <v>1.4999999999999999E-2</v>
      </c>
      <c r="L13" s="116">
        <v>1</v>
      </c>
      <c r="M13" s="116">
        <v>20</v>
      </c>
      <c r="N13" s="23"/>
      <c r="P13" s="110"/>
    </row>
    <row r="14" spans="1:16" x14ac:dyDescent="0.2">
      <c r="B14" s="18" t="s">
        <v>94</v>
      </c>
      <c r="C14" s="282">
        <f>C12*C13/1000</f>
        <v>36.96</v>
      </c>
      <c r="D14" s="132"/>
      <c r="E14" s="108"/>
      <c r="F14" s="108"/>
      <c r="G14" s="61"/>
      <c r="I14" s="44" t="s">
        <v>86</v>
      </c>
      <c r="J14" s="255">
        <v>328</v>
      </c>
      <c r="K14" s="115">
        <v>1.4999999999999999E-2</v>
      </c>
      <c r="L14" s="97">
        <v>1</v>
      </c>
      <c r="M14" s="97">
        <v>20</v>
      </c>
      <c r="N14" s="41"/>
      <c r="P14" s="110"/>
    </row>
    <row r="15" spans="1:16" x14ac:dyDescent="0.2">
      <c r="B15" s="18" t="s">
        <v>218</v>
      </c>
      <c r="C15" s="333">
        <v>915</v>
      </c>
      <c r="D15" s="330">
        <v>-0.02</v>
      </c>
      <c r="E15" s="331">
        <v>1</v>
      </c>
      <c r="F15" s="331">
        <v>20</v>
      </c>
      <c r="G15" s="61"/>
      <c r="I15" s="18" t="s">
        <v>85</v>
      </c>
      <c r="J15" s="255">
        <v>323</v>
      </c>
      <c r="K15" s="115">
        <v>1.4999999999999999E-2</v>
      </c>
      <c r="L15" s="97">
        <v>1</v>
      </c>
      <c r="M15" s="97">
        <v>20</v>
      </c>
      <c r="N15" s="61"/>
      <c r="P15" s="110"/>
    </row>
    <row r="16" spans="1:16" ht="15.75" thickBot="1" x14ac:dyDescent="0.25">
      <c r="B16" s="10" t="s">
        <v>219</v>
      </c>
      <c r="C16" s="334">
        <v>0.4</v>
      </c>
      <c r="D16" s="332"/>
      <c r="E16" s="332"/>
      <c r="F16" s="332"/>
      <c r="G16" s="6"/>
      <c r="I16" s="106" t="s">
        <v>84</v>
      </c>
      <c r="J16" s="255">
        <v>600</v>
      </c>
      <c r="K16" s="105">
        <v>0.02</v>
      </c>
      <c r="L16" s="104">
        <v>1</v>
      </c>
      <c r="M16" s="104">
        <v>20</v>
      </c>
      <c r="N16" s="61"/>
      <c r="P16" s="110"/>
    </row>
    <row r="17" spans="2:16" ht="15.75" thickBot="1" x14ac:dyDescent="0.25">
      <c r="C17" s="119"/>
      <c r="D17" s="129"/>
      <c r="E17" s="129"/>
      <c r="F17" s="129"/>
      <c r="I17" s="106" t="s">
        <v>83</v>
      </c>
      <c r="J17" s="255">
        <v>200</v>
      </c>
      <c r="K17" s="105">
        <v>-0.01</v>
      </c>
      <c r="L17" s="104">
        <v>1</v>
      </c>
      <c r="M17" s="104">
        <v>20</v>
      </c>
      <c r="N17" s="61"/>
      <c r="P17" s="110"/>
    </row>
    <row r="18" spans="2:16" ht="16.5" thickBot="1" x14ac:dyDescent="0.3">
      <c r="B18" s="30" t="s">
        <v>93</v>
      </c>
      <c r="C18" s="128"/>
      <c r="D18" s="127"/>
      <c r="E18" s="127"/>
      <c r="F18" s="127"/>
      <c r="G18" s="95" t="s">
        <v>38</v>
      </c>
      <c r="I18" s="106" t="s">
        <v>82</v>
      </c>
      <c r="J18" s="255">
        <v>328</v>
      </c>
      <c r="K18" s="105">
        <v>0.02</v>
      </c>
      <c r="L18" s="104">
        <v>1</v>
      </c>
      <c r="M18" s="104">
        <v>20</v>
      </c>
      <c r="N18" s="61"/>
      <c r="P18" s="110"/>
    </row>
    <row r="19" spans="2:16" ht="15.75" thickBot="1" x14ac:dyDescent="0.25">
      <c r="B19" s="126" t="s">
        <v>92</v>
      </c>
      <c r="C19" s="251">
        <v>78000</v>
      </c>
      <c r="D19" s="125"/>
      <c r="E19" s="124"/>
      <c r="F19" s="124"/>
      <c r="G19" s="123"/>
      <c r="I19" s="106" t="s">
        <v>80</v>
      </c>
      <c r="J19" s="255"/>
      <c r="K19" s="105">
        <v>0.02</v>
      </c>
      <c r="L19" s="104">
        <v>1</v>
      </c>
      <c r="M19" s="104">
        <v>20</v>
      </c>
      <c r="N19" s="61"/>
      <c r="P19" s="110"/>
    </row>
    <row r="20" spans="2:16" ht="15.75" thickBot="1" x14ac:dyDescent="0.25">
      <c r="B20" s="126" t="s">
        <v>151</v>
      </c>
      <c r="C20" s="280">
        <v>20</v>
      </c>
      <c r="D20" s="125"/>
      <c r="E20" s="124"/>
      <c r="F20" s="124"/>
      <c r="G20" s="123"/>
      <c r="I20" s="106" t="s">
        <v>160</v>
      </c>
      <c r="J20" s="255">
        <v>0</v>
      </c>
      <c r="K20" s="105">
        <v>0.02</v>
      </c>
      <c r="L20" s="104">
        <v>1</v>
      </c>
      <c r="M20" s="104">
        <v>20</v>
      </c>
      <c r="N20" s="61"/>
      <c r="P20" s="110"/>
    </row>
    <row r="21" spans="2:16" ht="15.75" thickBot="1" x14ac:dyDescent="0.25">
      <c r="C21" s="122"/>
      <c r="D21" s="121"/>
      <c r="E21" s="120"/>
      <c r="F21" s="120"/>
      <c r="G21" s="46"/>
      <c r="I21" s="44" t="s">
        <v>77</v>
      </c>
      <c r="J21" s="255">
        <v>0</v>
      </c>
      <c r="K21" s="105">
        <v>0.02</v>
      </c>
      <c r="L21" s="104">
        <v>4</v>
      </c>
      <c r="M21" s="104">
        <v>20</v>
      </c>
      <c r="N21" s="41"/>
      <c r="P21" s="110"/>
    </row>
    <row r="22" spans="2:16" ht="15.75" x14ac:dyDescent="0.25">
      <c r="C22" s="119"/>
      <c r="D22" s="112" t="s">
        <v>90</v>
      </c>
      <c r="E22" s="81" t="s">
        <v>62</v>
      </c>
      <c r="F22" s="81" t="s">
        <v>62</v>
      </c>
      <c r="G22" s="31"/>
      <c r="I22" s="106" t="s">
        <v>75</v>
      </c>
      <c r="J22" s="255">
        <v>0</v>
      </c>
      <c r="K22" s="105">
        <v>0.02</v>
      </c>
      <c r="L22" s="104">
        <v>1</v>
      </c>
      <c r="M22" s="104">
        <v>20</v>
      </c>
      <c r="N22" s="61"/>
      <c r="P22" s="110"/>
    </row>
    <row r="23" spans="2:16" ht="16.5" thickBot="1" x14ac:dyDescent="0.3">
      <c r="B23" s="30" t="s">
        <v>88</v>
      </c>
      <c r="C23" s="29"/>
      <c r="D23" s="111" t="s">
        <v>87</v>
      </c>
      <c r="E23" s="78" t="s">
        <v>59</v>
      </c>
      <c r="F23" s="78" t="s">
        <v>58</v>
      </c>
      <c r="G23" s="27" t="s">
        <v>38</v>
      </c>
      <c r="I23" s="106" t="s">
        <v>73</v>
      </c>
      <c r="J23" s="255">
        <v>0</v>
      </c>
      <c r="K23" s="105">
        <v>0.02</v>
      </c>
      <c r="L23" s="104">
        <v>1</v>
      </c>
      <c r="M23" s="104">
        <v>20</v>
      </c>
      <c r="N23" s="61"/>
      <c r="P23" s="110"/>
    </row>
    <row r="24" spans="2:16" ht="15.75" thickBot="1" x14ac:dyDescent="0.25">
      <c r="B24" s="335" t="s">
        <v>232</v>
      </c>
      <c r="C24" s="252">
        <v>0</v>
      </c>
      <c r="D24" s="336">
        <v>0.02</v>
      </c>
      <c r="E24" s="337">
        <v>1</v>
      </c>
      <c r="F24" s="338">
        <v>20</v>
      </c>
      <c r="G24" s="23"/>
      <c r="I24" s="102" t="s">
        <v>71</v>
      </c>
      <c r="J24" s="253">
        <v>0</v>
      </c>
      <c r="K24" s="101">
        <v>0.01</v>
      </c>
      <c r="L24" s="100">
        <v>1</v>
      </c>
      <c r="M24" s="100">
        <v>20</v>
      </c>
      <c r="N24" s="6"/>
    </row>
    <row r="25" spans="2:16" x14ac:dyDescent="0.2">
      <c r="B25" s="339" t="s">
        <v>226</v>
      </c>
      <c r="C25" s="340">
        <v>0</v>
      </c>
      <c r="D25" s="341">
        <v>0.02</v>
      </c>
      <c r="E25" s="342">
        <v>1</v>
      </c>
      <c r="F25" s="343">
        <v>20</v>
      </c>
      <c r="G25" s="71"/>
    </row>
    <row r="26" spans="2:16" ht="15.75" thickBot="1" x14ac:dyDescent="0.25">
      <c r="B26" s="39" t="s">
        <v>227</v>
      </c>
      <c r="C26" s="253">
        <v>0</v>
      </c>
      <c r="D26" s="344">
        <v>0.02</v>
      </c>
      <c r="E26" s="345">
        <v>1</v>
      </c>
      <c r="F26" s="345">
        <v>20</v>
      </c>
      <c r="G26" s="6"/>
    </row>
    <row r="27" spans="2:16" ht="15.75" thickBot="1" x14ac:dyDescent="0.25">
      <c r="C27" s="114"/>
      <c r="D27" s="113"/>
      <c r="E27" s="113"/>
      <c r="F27" s="113"/>
    </row>
    <row r="28" spans="2:16" ht="16.5" thickBot="1" x14ac:dyDescent="0.3">
      <c r="E28" s="112" t="s">
        <v>62</v>
      </c>
      <c r="F28" s="81" t="s">
        <v>62</v>
      </c>
      <c r="G28" s="31"/>
      <c r="I28" s="96" t="s">
        <v>68</v>
      </c>
      <c r="N28" s="95" t="s">
        <v>38</v>
      </c>
    </row>
    <row r="29" spans="2:16" ht="16.5" thickBot="1" x14ac:dyDescent="0.3">
      <c r="B29" s="30" t="s">
        <v>81</v>
      </c>
      <c r="C29" s="30"/>
      <c r="D29" s="28"/>
      <c r="E29" s="111" t="s">
        <v>59</v>
      </c>
      <c r="F29" s="78" t="s">
        <v>58</v>
      </c>
      <c r="G29" s="27" t="s">
        <v>38</v>
      </c>
      <c r="I29" s="94" t="s">
        <v>67</v>
      </c>
      <c r="J29" s="93" t="s">
        <v>35</v>
      </c>
      <c r="K29" s="92"/>
      <c r="L29" s="92"/>
      <c r="M29" s="92"/>
      <c r="N29" s="91"/>
    </row>
    <row r="30" spans="2:16" ht="15.75" thickBot="1" x14ac:dyDescent="0.25">
      <c r="B30" s="26" t="s">
        <v>79</v>
      </c>
      <c r="C30" s="109">
        <v>0</v>
      </c>
      <c r="D30" s="24"/>
      <c r="E30" s="25"/>
      <c r="F30" s="24"/>
      <c r="G30" s="23"/>
      <c r="P30" s="110"/>
    </row>
    <row r="31" spans="2:16" ht="16.5" thickBot="1" x14ac:dyDescent="0.3">
      <c r="B31" s="44" t="s">
        <v>78</v>
      </c>
      <c r="C31" s="254">
        <v>0</v>
      </c>
      <c r="D31" s="108"/>
      <c r="E31" s="275">
        <f>$C$30</f>
        <v>0</v>
      </c>
      <c r="F31" s="275">
        <f>$C$30</f>
        <v>0</v>
      </c>
      <c r="G31" s="107"/>
      <c r="K31" s="90" t="s">
        <v>38</v>
      </c>
      <c r="L31" s="89"/>
      <c r="M31" s="88"/>
    </row>
    <row r="32" spans="2:16" ht="15.75" x14ac:dyDescent="0.25">
      <c r="B32" s="18" t="s">
        <v>76</v>
      </c>
      <c r="C32" s="99">
        <v>1</v>
      </c>
      <c r="D32" s="15"/>
      <c r="E32" s="98">
        <v>1</v>
      </c>
      <c r="F32" s="103">
        <f>C30</f>
        <v>0</v>
      </c>
      <c r="G32" s="61"/>
      <c r="I32" s="86" t="s">
        <v>65</v>
      </c>
      <c r="J32" s="31"/>
      <c r="K32" s="352" t="s">
        <v>161</v>
      </c>
      <c r="L32" s="353"/>
      <c r="M32" s="354"/>
      <c r="N32" s="46"/>
    </row>
    <row r="33" spans="2:14" x14ac:dyDescent="0.2">
      <c r="B33" s="18" t="s">
        <v>74</v>
      </c>
      <c r="C33" s="99">
        <v>1</v>
      </c>
      <c r="D33" s="15"/>
      <c r="E33" s="98">
        <f>$C$30+1</f>
        <v>1</v>
      </c>
      <c r="F33" s="97"/>
      <c r="G33" s="61"/>
      <c r="I33" s="18" t="s">
        <v>64</v>
      </c>
      <c r="J33" s="267">
        <v>1100</v>
      </c>
      <c r="K33" s="355"/>
      <c r="L33" s="356"/>
      <c r="M33" s="357"/>
      <c r="N33" s="46"/>
    </row>
    <row r="34" spans="2:14" x14ac:dyDescent="0.2">
      <c r="B34" s="18" t="s">
        <v>72</v>
      </c>
      <c r="C34" s="99">
        <v>0</v>
      </c>
      <c r="D34" s="15"/>
      <c r="E34" s="98">
        <v>1</v>
      </c>
      <c r="F34" s="103">
        <f>C30</f>
        <v>0</v>
      </c>
      <c r="G34" s="61"/>
      <c r="I34" s="18" t="s">
        <v>63</v>
      </c>
      <c r="J34" s="276">
        <f>C14</f>
        <v>36.96</v>
      </c>
      <c r="K34" s="355"/>
      <c r="L34" s="356"/>
      <c r="M34" s="357"/>
      <c r="N34" s="46"/>
    </row>
    <row r="35" spans="2:14" ht="15.75" x14ac:dyDescent="0.2">
      <c r="B35" s="18" t="s">
        <v>70</v>
      </c>
      <c r="C35" s="99">
        <v>0</v>
      </c>
      <c r="D35" s="15"/>
      <c r="E35" s="98">
        <f>$C$30+1</f>
        <v>1</v>
      </c>
      <c r="F35" s="97"/>
      <c r="G35" s="61"/>
      <c r="I35" s="80" t="s">
        <v>61</v>
      </c>
      <c r="J35" s="277">
        <f>J33*J34</f>
        <v>40656</v>
      </c>
      <c r="K35" s="355"/>
      <c r="L35" s="356"/>
      <c r="M35" s="357"/>
      <c r="N35" s="46"/>
    </row>
    <row r="36" spans="2:14" ht="16.5" thickBot="1" x14ac:dyDescent="0.25">
      <c r="B36" s="18" t="s">
        <v>69</v>
      </c>
      <c r="C36" s="255">
        <v>0</v>
      </c>
      <c r="D36" s="15"/>
      <c r="E36" s="87"/>
      <c r="F36" s="15"/>
      <c r="G36" s="61"/>
      <c r="I36" s="77" t="s">
        <v>57</v>
      </c>
      <c r="J36" s="76"/>
      <c r="K36" s="358"/>
      <c r="L36" s="359"/>
      <c r="M36" s="360"/>
      <c r="N36" s="46"/>
    </row>
    <row r="37" spans="2:14" ht="15.75" customHeight="1" x14ac:dyDescent="0.2">
      <c r="B37" s="18" t="s">
        <v>159</v>
      </c>
      <c r="C37" s="255">
        <v>0</v>
      </c>
      <c r="D37" s="15"/>
      <c r="E37" s="87"/>
      <c r="F37" s="15"/>
      <c r="G37" s="61"/>
      <c r="I37" s="75" t="s">
        <v>55</v>
      </c>
      <c r="J37" s="74"/>
      <c r="K37" s="73"/>
      <c r="L37" s="72"/>
      <c r="M37" s="71"/>
      <c r="N37" s="46"/>
    </row>
    <row r="38" spans="2:14" ht="15.75" customHeight="1" x14ac:dyDescent="0.2">
      <c r="B38" s="18" t="s">
        <v>66</v>
      </c>
      <c r="C38" s="255">
        <v>78000</v>
      </c>
      <c r="D38" s="15"/>
      <c r="E38" s="87"/>
      <c r="F38" s="15"/>
      <c r="G38" s="61"/>
      <c r="I38" s="64" t="s">
        <v>162</v>
      </c>
      <c r="J38" s="268">
        <v>0</v>
      </c>
      <c r="K38" s="63"/>
      <c r="L38" s="62"/>
      <c r="M38" s="61"/>
      <c r="N38" s="46"/>
    </row>
    <row r="39" spans="2:14" ht="15.75" customHeight="1" x14ac:dyDescent="0.2">
      <c r="B39" s="18" t="s">
        <v>26</v>
      </c>
      <c r="C39" s="255">
        <v>0</v>
      </c>
      <c r="D39" s="15"/>
      <c r="E39" s="87"/>
      <c r="F39" s="15"/>
      <c r="G39" s="61"/>
      <c r="I39" s="64" t="s">
        <v>53</v>
      </c>
      <c r="J39" s="268">
        <v>0</v>
      </c>
      <c r="K39" s="63"/>
      <c r="L39" s="62"/>
      <c r="M39" s="61"/>
      <c r="N39" s="46"/>
    </row>
    <row r="40" spans="2:14" ht="15.75" customHeight="1" thickBot="1" x14ac:dyDescent="0.25">
      <c r="B40" s="10" t="s">
        <v>56</v>
      </c>
      <c r="C40" s="256">
        <f>C19-C36-C37-C38-C39</f>
        <v>0</v>
      </c>
      <c r="D40" s="84"/>
      <c r="E40" s="85"/>
      <c r="F40" s="84"/>
      <c r="G40" s="6"/>
      <c r="I40" s="64" t="s">
        <v>163</v>
      </c>
      <c r="J40" s="268">
        <v>0</v>
      </c>
      <c r="K40" s="63"/>
      <c r="L40" s="62"/>
      <c r="M40" s="61"/>
      <c r="N40" s="46"/>
    </row>
    <row r="41" spans="2:14" ht="17.100000000000001" customHeight="1" x14ac:dyDescent="0.2">
      <c r="E41" s="40"/>
      <c r="I41" s="64" t="s">
        <v>50</v>
      </c>
      <c r="J41" s="268">
        <v>0</v>
      </c>
      <c r="K41" s="63"/>
      <c r="L41" s="62"/>
      <c r="M41" s="61"/>
      <c r="N41" s="46"/>
    </row>
    <row r="42" spans="2:14" ht="15.75" thickBot="1" x14ac:dyDescent="0.25">
      <c r="B42" s="279"/>
      <c r="C42" s="281"/>
      <c r="D42" s="266"/>
      <c r="E42" s="266"/>
      <c r="F42" s="83"/>
      <c r="I42" s="64" t="s">
        <v>49</v>
      </c>
      <c r="J42" s="268">
        <v>0</v>
      </c>
      <c r="K42" s="63"/>
      <c r="L42" s="62"/>
      <c r="M42" s="61"/>
      <c r="N42" s="46"/>
    </row>
    <row r="43" spans="2:14" ht="15.75" x14ac:dyDescent="0.25">
      <c r="D43" s="32"/>
      <c r="E43" s="82" t="s">
        <v>62</v>
      </c>
      <c r="F43" s="81" t="s">
        <v>62</v>
      </c>
      <c r="G43" s="31"/>
      <c r="I43" s="64" t="s">
        <v>48</v>
      </c>
      <c r="J43" s="268">
        <v>0</v>
      </c>
      <c r="K43" s="63"/>
      <c r="L43" s="62"/>
      <c r="M43" s="61"/>
      <c r="N43" s="46"/>
    </row>
    <row r="44" spans="2:14" ht="16.5" thickBot="1" x14ac:dyDescent="0.3">
      <c r="B44" s="30" t="s">
        <v>60</v>
      </c>
      <c r="C44" s="29"/>
      <c r="D44" s="27"/>
      <c r="E44" s="79" t="s">
        <v>59</v>
      </c>
      <c r="F44" s="78" t="s">
        <v>58</v>
      </c>
      <c r="G44" s="27" t="s">
        <v>38</v>
      </c>
      <c r="I44" s="60" t="s">
        <v>46</v>
      </c>
      <c r="J44" s="269">
        <v>0</v>
      </c>
      <c r="K44" s="59"/>
      <c r="L44" s="58"/>
      <c r="M44" s="6"/>
      <c r="N44" s="46"/>
    </row>
    <row r="45" spans="2:14" ht="16.5" thickBot="1" x14ac:dyDescent="0.3">
      <c r="B45" s="26" t="s">
        <v>56</v>
      </c>
      <c r="C45" s="257">
        <f>C40</f>
        <v>0</v>
      </c>
      <c r="D45" s="25"/>
      <c r="E45" s="24"/>
      <c r="F45" s="24"/>
      <c r="G45" s="23"/>
      <c r="I45" s="57" t="s">
        <v>44</v>
      </c>
      <c r="J45" s="278">
        <f>SUM(J39:J44)</f>
        <v>0</v>
      </c>
      <c r="K45" s="56"/>
      <c r="L45" s="55"/>
      <c r="M45" s="54"/>
      <c r="N45" s="46"/>
    </row>
    <row r="46" spans="2:14" ht="15.75" thickBot="1" x14ac:dyDescent="0.25">
      <c r="B46" s="18" t="s">
        <v>54</v>
      </c>
      <c r="C46" s="70">
        <v>5</v>
      </c>
      <c r="D46" s="16"/>
      <c r="E46" s="15"/>
      <c r="F46" s="15"/>
      <c r="G46" s="14"/>
      <c r="N46" s="46"/>
    </row>
    <row r="47" spans="2:14" ht="15.75" x14ac:dyDescent="0.25">
      <c r="B47" s="18" t="s">
        <v>157</v>
      </c>
      <c r="C47" s="17">
        <v>0.01</v>
      </c>
      <c r="D47" s="16"/>
      <c r="E47" s="15"/>
      <c r="F47" s="15"/>
      <c r="G47" s="14"/>
      <c r="I47" s="283" t="s">
        <v>170</v>
      </c>
      <c r="J47" s="287"/>
      <c r="K47" s="270"/>
      <c r="L47" s="270"/>
      <c r="M47" s="270"/>
      <c r="N47" s="270"/>
    </row>
    <row r="48" spans="2:14" x14ac:dyDescent="0.2">
      <c r="B48" s="18" t="s">
        <v>52</v>
      </c>
      <c r="C48" s="258">
        <f>-PMT(C47,C46,C45)</f>
        <v>0</v>
      </c>
      <c r="D48" s="49"/>
      <c r="E48" s="69">
        <v>1</v>
      </c>
      <c r="F48" s="68">
        <f>C46+E48-1</f>
        <v>5</v>
      </c>
      <c r="G48" s="47"/>
      <c r="I48" s="284" t="s">
        <v>1</v>
      </c>
      <c r="J48" s="305">
        <v>5</v>
      </c>
      <c r="K48" s="271"/>
      <c r="L48" s="272"/>
      <c r="M48" s="272"/>
      <c r="N48" s="272"/>
    </row>
    <row r="49" spans="2:19" ht="15.75" thickBot="1" x14ac:dyDescent="0.25">
      <c r="B49" s="67" t="s">
        <v>51</v>
      </c>
      <c r="C49" s="66">
        <v>0</v>
      </c>
      <c r="D49" s="16"/>
      <c r="E49" s="15"/>
      <c r="F49" s="15"/>
      <c r="G49" s="65"/>
      <c r="I49" s="284" t="s">
        <v>171</v>
      </c>
      <c r="J49" s="305">
        <v>5</v>
      </c>
      <c r="K49" s="272"/>
      <c r="L49" s="272"/>
      <c r="M49" s="272"/>
      <c r="N49" s="272"/>
    </row>
    <row r="50" spans="2:19" ht="15.75" thickBot="1" x14ac:dyDescent="0.25">
      <c r="I50" s="284" t="s">
        <v>172</v>
      </c>
      <c r="J50" s="305">
        <v>5</v>
      </c>
      <c r="K50" s="272"/>
      <c r="L50" s="272"/>
      <c r="M50" s="272"/>
      <c r="N50" s="272"/>
    </row>
    <row r="51" spans="2:19" ht="15.75" x14ac:dyDescent="0.25">
      <c r="D51" s="33"/>
      <c r="E51" s="33"/>
      <c r="F51" s="32"/>
      <c r="G51" s="31"/>
      <c r="I51" s="284" t="s">
        <v>173</v>
      </c>
      <c r="J51" s="305">
        <v>3</v>
      </c>
      <c r="K51" s="272"/>
      <c r="L51" s="272"/>
      <c r="M51" s="272"/>
      <c r="N51" s="272"/>
    </row>
    <row r="52" spans="2:19" ht="16.5" thickBot="1" x14ac:dyDescent="0.3">
      <c r="B52" s="30" t="s">
        <v>47</v>
      </c>
      <c r="C52" s="29"/>
      <c r="D52" s="28"/>
      <c r="E52" s="28"/>
      <c r="F52" s="27"/>
      <c r="G52" s="27" t="s">
        <v>38</v>
      </c>
      <c r="I52" s="284" t="s">
        <v>174</v>
      </c>
      <c r="J52" s="305">
        <v>4</v>
      </c>
      <c r="K52" s="272"/>
      <c r="L52" s="272"/>
      <c r="M52" s="272"/>
      <c r="N52" s="272"/>
      <c r="O52" s="5"/>
      <c r="P52" s="3"/>
      <c r="Q52" s="3"/>
    </row>
    <row r="53" spans="2:19" ht="15.75" thickBot="1" x14ac:dyDescent="0.25">
      <c r="B53" s="26" t="s">
        <v>45</v>
      </c>
      <c r="C53" s="257">
        <f>C38</f>
        <v>78000</v>
      </c>
      <c r="D53" s="25"/>
      <c r="E53" s="24"/>
      <c r="F53" s="24"/>
      <c r="G53" s="23"/>
      <c r="I53" s="285" t="s">
        <v>175</v>
      </c>
      <c r="J53" s="306">
        <v>3</v>
      </c>
      <c r="O53" s="3"/>
      <c r="P53" s="3"/>
      <c r="Q53" s="3"/>
      <c r="R53" s="11"/>
      <c r="S53" s="11"/>
    </row>
    <row r="54" spans="2:19" ht="15.75" thickBot="1" x14ac:dyDescent="0.25">
      <c r="B54" s="18" t="s">
        <v>43</v>
      </c>
      <c r="C54" s="17">
        <v>0</v>
      </c>
      <c r="D54" s="16"/>
      <c r="E54" s="15"/>
      <c r="F54" s="15"/>
      <c r="G54" s="14"/>
      <c r="I54" s="286" t="s">
        <v>176</v>
      </c>
      <c r="J54" s="307">
        <f>IFERROR(AVERAGE(J48:J53),0)</f>
        <v>4.166666666666667</v>
      </c>
      <c r="O54" s="3"/>
      <c r="P54" s="3"/>
      <c r="Q54" s="3"/>
      <c r="R54" s="53"/>
      <c r="S54" s="11"/>
    </row>
    <row r="55" spans="2:19" ht="16.5" customHeight="1" x14ac:dyDescent="0.2">
      <c r="B55" s="51" t="s">
        <v>42</v>
      </c>
      <c r="C55" s="50">
        <v>0</v>
      </c>
      <c r="D55" s="49"/>
      <c r="E55" s="48"/>
      <c r="F55" s="48"/>
      <c r="G55" s="47"/>
      <c r="O55" s="3"/>
      <c r="P55" s="3"/>
      <c r="Q55" s="3"/>
      <c r="R55" s="52"/>
      <c r="S55" s="11"/>
    </row>
    <row r="56" spans="2:19" ht="15.75" customHeight="1" x14ac:dyDescent="0.2">
      <c r="B56" s="44" t="s">
        <v>41</v>
      </c>
      <c r="C56" s="43" t="s">
        <v>34</v>
      </c>
      <c r="D56" s="42"/>
      <c r="E56" s="319">
        <v>1</v>
      </c>
      <c r="F56" s="319">
        <v>20</v>
      </c>
      <c r="G56" s="41"/>
      <c r="O56" s="3"/>
      <c r="P56" s="3"/>
      <c r="Q56" s="3"/>
      <c r="R56" s="45"/>
      <c r="S56" s="11"/>
    </row>
    <row r="57" spans="2:19" ht="15.75" thickBot="1" x14ac:dyDescent="0.25">
      <c r="B57" s="39" t="s">
        <v>40</v>
      </c>
      <c r="C57" s="38" t="s">
        <v>34</v>
      </c>
      <c r="D57" s="37"/>
      <c r="E57" s="320">
        <v>1</v>
      </c>
      <c r="F57" s="320">
        <v>20</v>
      </c>
      <c r="G57" s="36"/>
      <c r="O57" s="3"/>
      <c r="P57" s="3"/>
      <c r="Q57" s="3"/>
      <c r="R57" s="11"/>
      <c r="S57" s="11"/>
    </row>
    <row r="58" spans="2:19" ht="15.75" thickBot="1" x14ac:dyDescent="0.25">
      <c r="O58" s="3"/>
      <c r="P58" s="3"/>
      <c r="Q58" s="3"/>
      <c r="R58" s="35"/>
      <c r="S58" s="11"/>
    </row>
    <row r="59" spans="2:19" ht="15.75" x14ac:dyDescent="0.25">
      <c r="D59" s="33"/>
      <c r="E59" s="33"/>
      <c r="F59" s="32"/>
      <c r="G59" s="31"/>
      <c r="O59" s="11"/>
      <c r="P59" s="22"/>
      <c r="Q59" s="22"/>
      <c r="R59" s="34"/>
      <c r="S59" s="11"/>
    </row>
    <row r="60" spans="2:19" ht="16.5" thickBot="1" x14ac:dyDescent="0.3">
      <c r="B60" s="30" t="s">
        <v>39</v>
      </c>
      <c r="C60" s="29"/>
      <c r="D60" s="28"/>
      <c r="E60" s="28"/>
      <c r="F60" s="27"/>
      <c r="G60" s="27" t="s">
        <v>38</v>
      </c>
      <c r="O60" s="11"/>
      <c r="P60" s="22"/>
      <c r="Q60" s="22"/>
      <c r="R60" s="21"/>
      <c r="S60" s="11"/>
    </row>
    <row r="61" spans="2:19" x14ac:dyDescent="0.2">
      <c r="B61" s="26" t="s">
        <v>37</v>
      </c>
      <c r="C61" s="257">
        <f>C39</f>
        <v>0</v>
      </c>
      <c r="D61" s="25"/>
      <c r="E61" s="24"/>
      <c r="F61" s="24"/>
      <c r="G61" s="23"/>
      <c r="O61" s="11"/>
      <c r="P61" s="22"/>
      <c r="Q61" s="22"/>
      <c r="R61" s="19"/>
      <c r="S61" s="11"/>
    </row>
    <row r="62" spans="2:19" ht="16.5" customHeight="1" x14ac:dyDescent="0.2">
      <c r="B62" s="18" t="s">
        <v>154</v>
      </c>
      <c r="C62" s="17">
        <v>0</v>
      </c>
      <c r="D62" s="16"/>
      <c r="E62" s="15"/>
      <c r="F62" s="15"/>
      <c r="G62" s="20"/>
      <c r="O62" s="11"/>
      <c r="P62" s="22"/>
      <c r="Q62" s="22"/>
      <c r="R62" s="21"/>
      <c r="S62" s="11"/>
    </row>
    <row r="63" spans="2:19" ht="16.5" customHeight="1" x14ac:dyDescent="0.2">
      <c r="B63" s="18" t="s">
        <v>155</v>
      </c>
      <c r="C63" s="17">
        <v>0</v>
      </c>
      <c r="D63" s="16"/>
      <c r="E63" s="15"/>
      <c r="F63" s="15"/>
      <c r="G63" s="14"/>
      <c r="O63" s="11"/>
      <c r="P63" s="11"/>
      <c r="Q63" s="11"/>
      <c r="R63" s="19"/>
      <c r="S63" s="11"/>
    </row>
    <row r="64" spans="2:19" ht="17.25" customHeight="1" thickBot="1" x14ac:dyDescent="0.25">
      <c r="B64" s="10" t="s">
        <v>156</v>
      </c>
      <c r="C64" s="9">
        <v>0</v>
      </c>
      <c r="D64" s="8"/>
      <c r="E64" s="7"/>
      <c r="F64" s="7"/>
      <c r="G64" s="6"/>
      <c r="O64" s="13"/>
      <c r="P64" s="11"/>
      <c r="Q64" s="11"/>
      <c r="R64" s="12"/>
      <c r="S64" s="11"/>
    </row>
    <row r="65" spans="4:15" ht="19.5" customHeight="1" x14ac:dyDescent="0.2"/>
    <row r="66" spans="4:15" x14ac:dyDescent="0.2">
      <c r="M66" s="5"/>
      <c r="N66" s="3"/>
      <c r="O66" s="3"/>
    </row>
    <row r="67" spans="4:15" hidden="1" x14ac:dyDescent="0.2">
      <c r="D67" s="4" t="s">
        <v>36</v>
      </c>
      <c r="E67" s="4" t="s">
        <v>35</v>
      </c>
      <c r="G67" s="279"/>
      <c r="M67" s="3"/>
      <c r="N67" s="3"/>
      <c r="O67" s="3"/>
    </row>
    <row r="68" spans="4:15" hidden="1" x14ac:dyDescent="0.2">
      <c r="D68" s="4" t="s">
        <v>34</v>
      </c>
      <c r="E68" s="4" t="s">
        <v>33</v>
      </c>
      <c r="H68" s="279"/>
      <c r="M68" s="3"/>
      <c r="N68" s="3"/>
      <c r="O68" s="3"/>
    </row>
    <row r="69" spans="4:15" hidden="1" x14ac:dyDescent="0.2">
      <c r="D69" s="2">
        <v>0</v>
      </c>
      <c r="E69" s="2">
        <v>1</v>
      </c>
      <c r="F69" s="2">
        <v>2</v>
      </c>
      <c r="G69" s="2">
        <v>3</v>
      </c>
      <c r="M69" s="3"/>
      <c r="N69" s="3"/>
      <c r="O69" s="3"/>
    </row>
    <row r="70" spans="4:15" hidden="1" x14ac:dyDescent="0.2">
      <c r="H70" s="2">
        <v>4</v>
      </c>
      <c r="I70" s="2">
        <v>5</v>
      </c>
      <c r="M70" s="3"/>
      <c r="N70" s="3"/>
      <c r="O70" s="3"/>
    </row>
    <row r="71" spans="4:15" x14ac:dyDescent="0.2">
      <c r="M71" s="3"/>
      <c r="N71" s="3"/>
      <c r="O71" s="3"/>
    </row>
    <row r="72" spans="4:15" x14ac:dyDescent="0.2">
      <c r="M72" s="3"/>
      <c r="N72" s="3"/>
      <c r="O72" s="3"/>
    </row>
  </sheetData>
  <mergeCells count="2">
    <mergeCell ref="B1:C1"/>
    <mergeCell ref="K32:M36"/>
  </mergeCells>
  <dataValidations count="5">
    <dataValidation type="list" showInputMessage="1" showErrorMessage="1" sqref="WVR983054 WBZ983054 VSD983054 VIH983054 UYL983054 UOP983054 UET983054 TUX983054 TLB983054 TBF983054 SRJ983054 SHN983054 RXR983054 RNV983054 RDZ983054 QUD983054 QKH983054 QAL983054 PQP983054 PGT983054 OWX983054 ONB983054 ODF983054 NTJ983054 NJN983054 MZR983054 MPV983054 MFZ983054 LWD983054 LMH983054 LCL983054 KSP983054 KIT983054 JYX983054 JPB983054 JFF983054 IVJ983054 ILN983054 IBR983054 HRV983054 HHZ983054 GYD983054 GOH983054 GEL983054 FUP983054 FKT983054 FAX983054 ERB983054 EHF983054 DXJ983054 DNN983054 DDR983054 CTV983054 CJZ983054 CAD983054 BQH983054 BGL983054 AWP983054 AMT983054 ACX983054 TB983054 JF983054 J983054 WVR917518 WLV917518 WBZ917518 VSD917518 VIH917518 UYL917518 UOP917518 UET917518 TUX917518 TLB917518 TBF917518 SRJ917518 SHN917518 RXR917518 RNV917518 RDZ917518 QUD917518 QKH917518 QAL917518 PQP917518 PGT917518 OWX917518 ONB917518 ODF917518 NTJ917518 NJN917518 MZR917518 MPV917518 MFZ917518 LWD917518 LMH917518 LCL917518 KSP917518 KIT917518 JYX917518 JPB917518 JFF917518 IVJ917518 ILN917518 IBR917518 HRV917518 HHZ917518 GYD917518 GOH917518 GEL917518 FUP917518 FKT917518 FAX917518 ERB917518 EHF917518 DXJ917518 DNN917518 DDR917518 CTV917518 CJZ917518 CAD917518 BQH917518 BGL917518 AWP917518 AMT917518 ACX917518 TB917518 JF917518 J917518 WVR851982 WLV851982 WBZ851982 VSD851982 VIH851982 UYL851982 UOP851982 UET851982 TUX851982 TLB851982 TBF851982 SRJ851982 SHN851982 RXR851982 RNV851982 RDZ851982 QUD851982 QKH851982 QAL851982 PQP851982 PGT851982 OWX851982 ONB851982 ODF851982 NTJ851982 NJN851982 MZR851982 MPV851982 MFZ851982 LWD851982 LMH851982 LCL851982 KSP851982 KIT851982 JYX851982 JPB851982 JFF851982 IVJ851982 ILN851982 IBR851982 HRV851982 HHZ851982 GYD851982 GOH851982 GEL851982 FUP851982 FKT851982 FAX851982 ERB851982 EHF851982 DXJ851982 DNN851982 DDR851982 CTV851982 CJZ851982 CAD851982 BQH851982 BGL851982 AWP851982 AMT851982 ACX851982 TB851982 JF851982 J851982 WVR786446 WLV786446 WBZ786446 VSD786446 VIH786446 UYL786446 UOP786446 UET786446 TUX786446 TLB786446 TBF786446 SRJ786446 SHN786446 RXR786446 RNV786446 RDZ786446 QUD786446 QKH786446 QAL786446 PQP786446 PGT786446 OWX786446 ONB786446 ODF786446 NTJ786446 NJN786446 MZR786446 MPV786446 MFZ786446 LWD786446 LMH786446 LCL786446 KSP786446 KIT786446 JYX786446 JPB786446 JFF786446 IVJ786446 ILN786446 IBR786446 HRV786446 HHZ786446 GYD786446 GOH786446 GEL786446 FUP786446 FKT786446 FAX786446 ERB786446 EHF786446 DXJ786446 DNN786446 DDR786446 CTV786446 CJZ786446 CAD786446 BQH786446 BGL786446 AWP786446 AMT786446 ACX786446 TB786446 JF786446 J786446 WVR720910 WLV720910 WBZ720910 VSD720910 VIH720910 UYL720910 UOP720910 UET720910 TUX720910 TLB720910 TBF720910 SRJ720910 SHN720910 RXR720910 RNV720910 RDZ720910 QUD720910 QKH720910 QAL720910 PQP720910 PGT720910 OWX720910 ONB720910 ODF720910 NTJ720910 NJN720910 MZR720910 MPV720910 MFZ720910 LWD720910 LMH720910 LCL720910 KSP720910 KIT720910 JYX720910 JPB720910 JFF720910 IVJ720910 ILN720910 IBR720910 HRV720910 HHZ720910 GYD720910 GOH720910 GEL720910 FUP720910 FKT720910 FAX720910 ERB720910 EHF720910 DXJ720910 DNN720910 DDR720910 CTV720910 CJZ720910 CAD720910 BQH720910 BGL720910 AWP720910 AMT720910 ACX720910 TB720910 JF720910 J720910 WVR655374 WLV655374 WBZ655374 VSD655374 VIH655374 UYL655374 UOP655374 UET655374 TUX655374 TLB655374 TBF655374 SRJ655374 SHN655374 RXR655374 RNV655374 RDZ655374 QUD655374 QKH655374 QAL655374 PQP655374 PGT655374 OWX655374 ONB655374 ODF655374 NTJ655374 NJN655374 MZR655374 MPV655374 MFZ655374 LWD655374 LMH655374 LCL655374 KSP655374 KIT655374 JYX655374 JPB655374 JFF655374 IVJ655374 ILN655374 IBR655374 HRV655374 HHZ655374 GYD655374 GOH655374 GEL655374 FUP655374 FKT655374 FAX655374 ERB655374 EHF655374 DXJ655374 DNN655374 DDR655374 CTV655374 CJZ655374 CAD655374 BQH655374 BGL655374 AWP655374 AMT655374 ACX655374 TB655374 JF655374 J655374 WVR589838 WLV589838 WBZ589838 VSD589838 VIH589838 UYL589838 UOP589838 UET589838 TUX589838 TLB589838 TBF589838 SRJ589838 SHN589838 RXR589838 RNV589838 RDZ589838 QUD589838 QKH589838 QAL589838 PQP589838 PGT589838 OWX589838 ONB589838 ODF589838 NTJ589838 NJN589838 MZR589838 MPV589838 MFZ589838 LWD589838 LMH589838 LCL589838 KSP589838 KIT589838 JYX589838 JPB589838 JFF589838 IVJ589838 ILN589838 IBR589838 HRV589838 HHZ589838 GYD589838 GOH589838 GEL589838 FUP589838 FKT589838 FAX589838 ERB589838 EHF589838 DXJ589838 DNN589838 DDR589838 CTV589838 CJZ589838 CAD589838 BQH589838 BGL589838 AWP589838 AMT589838 ACX589838 TB589838 JF589838 J589838 WVR524302 WLV524302 WBZ524302 VSD524302 VIH524302 UYL524302 UOP524302 UET524302 TUX524302 TLB524302 TBF524302 SRJ524302 SHN524302 RXR524302 RNV524302 RDZ524302 QUD524302 QKH524302 QAL524302 PQP524302 PGT524302 OWX524302 ONB524302 ODF524302 NTJ524302 NJN524302 MZR524302 MPV524302 MFZ524302 LWD524302 LMH524302 LCL524302 KSP524302 KIT524302 JYX524302 JPB524302 JFF524302 IVJ524302 ILN524302 IBR524302 HRV524302 HHZ524302 GYD524302 GOH524302 GEL524302 FUP524302 FKT524302 FAX524302 ERB524302 EHF524302 DXJ524302 DNN524302 DDR524302 CTV524302 CJZ524302 CAD524302 BQH524302 BGL524302 AWP524302 AMT524302 ACX524302 TB524302 JF524302 J524302 WVR458766 WLV458766 WBZ458766 VSD458766 VIH458766 UYL458766 UOP458766 UET458766 TUX458766 TLB458766 TBF458766 SRJ458766 SHN458766 RXR458766 RNV458766 RDZ458766 QUD458766 QKH458766 QAL458766 PQP458766 PGT458766 OWX458766 ONB458766 ODF458766 NTJ458766 NJN458766 MZR458766 MPV458766 MFZ458766 LWD458766 LMH458766 LCL458766 KSP458766 KIT458766 JYX458766 JPB458766 JFF458766 IVJ458766 ILN458766 IBR458766 HRV458766 HHZ458766 GYD458766 GOH458766 GEL458766 FUP458766 FKT458766 FAX458766 ERB458766 EHF458766 DXJ458766 DNN458766 DDR458766 CTV458766 CJZ458766 CAD458766 BQH458766 BGL458766 AWP458766 AMT458766 ACX458766 TB458766 JF458766 J458766 WVR393230 WLV393230 WBZ393230 VSD393230 VIH393230 UYL393230 UOP393230 UET393230 TUX393230 TLB393230 TBF393230 SRJ393230 SHN393230 RXR393230 RNV393230 RDZ393230 QUD393230 QKH393230 QAL393230 PQP393230 PGT393230 OWX393230 ONB393230 ODF393230 NTJ393230 NJN393230 MZR393230 MPV393230 MFZ393230 LWD393230 LMH393230 LCL393230 KSP393230 KIT393230 JYX393230 JPB393230 JFF393230 IVJ393230 ILN393230 IBR393230 HRV393230 HHZ393230 GYD393230 GOH393230 GEL393230 FUP393230 FKT393230 FAX393230 ERB393230 EHF393230 DXJ393230 DNN393230 DDR393230 CTV393230 CJZ393230 CAD393230 BQH393230 BGL393230 AWP393230 AMT393230 ACX393230 TB393230 JF393230 J393230 WVR327694 WLV327694 WBZ327694 VSD327694 VIH327694 UYL327694 UOP327694 UET327694 TUX327694 TLB327694 TBF327694 SRJ327694 SHN327694 RXR327694 RNV327694 RDZ327694 QUD327694 QKH327694 QAL327694 PQP327694 PGT327694 OWX327694 ONB327694 ODF327694 NTJ327694 NJN327694 MZR327694 MPV327694 MFZ327694 LWD327694 LMH327694 LCL327694 KSP327694 KIT327694 JYX327694 JPB327694 JFF327694 IVJ327694 ILN327694 IBR327694 HRV327694 HHZ327694 GYD327694 GOH327694 GEL327694 FUP327694 FKT327694 FAX327694 ERB327694 EHF327694 DXJ327694 DNN327694 DDR327694 CTV327694 CJZ327694 CAD327694 BQH327694 BGL327694 AWP327694 AMT327694 ACX327694 TB327694 JF327694 J327694 WVR262158 WLV262158 WBZ262158 VSD262158 VIH262158 UYL262158 UOP262158 UET262158 TUX262158 TLB262158 TBF262158 SRJ262158 SHN262158 RXR262158 RNV262158 RDZ262158 QUD262158 QKH262158 QAL262158 PQP262158 PGT262158 OWX262158 ONB262158 ODF262158 NTJ262158 NJN262158 MZR262158 MPV262158 MFZ262158 LWD262158 LMH262158 LCL262158 KSP262158 KIT262158 JYX262158 JPB262158 JFF262158 IVJ262158 ILN262158 IBR262158 HRV262158 HHZ262158 GYD262158 GOH262158 GEL262158 FUP262158 FKT262158 FAX262158 ERB262158 EHF262158 DXJ262158 DNN262158 DDR262158 CTV262158 CJZ262158 CAD262158 BQH262158 BGL262158 AWP262158 AMT262158 ACX262158 TB262158 JF262158 J262158 WVR196622 WLV196622 WBZ196622 VSD196622 VIH196622 UYL196622 UOP196622 UET196622 TUX196622 TLB196622 TBF196622 SRJ196622 SHN196622 RXR196622 RNV196622 RDZ196622 QUD196622 QKH196622 QAL196622 PQP196622 PGT196622 OWX196622 ONB196622 ODF196622 NTJ196622 NJN196622 MZR196622 MPV196622 MFZ196622 LWD196622 LMH196622 LCL196622 KSP196622 KIT196622 JYX196622 JPB196622 JFF196622 IVJ196622 ILN196622 IBR196622 HRV196622 HHZ196622 GYD196622 GOH196622 GEL196622 FUP196622 FKT196622 FAX196622 ERB196622 EHF196622 DXJ196622 DNN196622 DDR196622 CTV196622 CJZ196622 CAD196622 BQH196622 BGL196622 AWP196622 AMT196622 ACX196622 TB196622 JF196622 J196622 WVR131086 WLV131086 WBZ131086 VSD131086 VIH131086 UYL131086 UOP131086 UET131086 TUX131086 TLB131086 TBF131086 SRJ131086 SHN131086 RXR131086 RNV131086 RDZ131086 QUD131086 QKH131086 QAL131086 PQP131086 PGT131086 OWX131086 ONB131086 ODF131086 NTJ131086 NJN131086 MZR131086 MPV131086 MFZ131086 LWD131086 LMH131086 LCL131086 KSP131086 KIT131086 JYX131086 JPB131086 JFF131086 IVJ131086 ILN131086 IBR131086 HRV131086 HHZ131086 GYD131086 GOH131086 GEL131086 FUP131086 FKT131086 FAX131086 ERB131086 EHF131086 DXJ131086 DNN131086 DDR131086 CTV131086 CJZ131086 CAD131086 BQH131086 BGL131086 AWP131086 AMT131086 ACX131086 TB131086 JF131086 J131086 WVR65550 WLV65550 WBZ65550 VSD65550 VIH65550 UYL65550 UOP65550 UET65550 TUX65550 TLB65550 TBF65550 SRJ65550 SHN65550 RXR65550 RNV65550 RDZ65550 QUD65550 QKH65550 QAL65550 PQP65550 PGT65550 OWX65550 ONB65550 ODF65550 NTJ65550 NJN65550 MZR65550 MPV65550 MFZ65550 LWD65550 LMH65550 LCL65550 KSP65550 KIT65550 JYX65550 JPB65550 JFF65550 IVJ65550 ILN65550 IBR65550 HRV65550 HHZ65550 GYD65550 GOH65550 GEL65550 FUP65550 FKT65550 FAX65550 ERB65550 EHF65550 DXJ65550 DNN65550 DDR65550 CTV65550 CJZ65550 CAD65550 BQH65550 BGL65550 AWP65550 AMT65550 ACX65550 TB65550 JF65550 J65550 WVR12 WLV12 WBZ12 VSD12 VIH12 UYL12 UOP12 UET12 TUX12 TLB12 TBF12 SRJ12 SHN12 RXR12 RNV12 RDZ12 QUD12 QKH12 QAL12 PQP12 PGT12 OWX12 ONB12 ODF12 NTJ12 NJN12 MZR12 MPV12 MFZ12 LWD12 LMH12 LCL12 KSP12 KIT12 JYX12 JPB12 JFF12 IVJ12 ILN12 IBR12 HRV12 HHZ12 GYD12 GOH12 GEL12 FUP12 FKT12 FAX12 ERB12 EHF12 DXJ12 DNN12 DDR12 CTV12 CJZ12 CAD12 BQH12 BGL12 AWP12 AMT12 ACX12 TB12 JF12 WLV983054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J65552 WVR14 WLV14 WBZ14 VSD14 VIH14 UYL14 UOP14 UET14 TUX14 TLB14 TBF14 SRJ14 SHN14 RXR14 RNV14 RDZ14 QUD14 QKH14 QAL14 PQP14 PGT14 OWX14 ONB14 ODF14 NTJ14 NJN14 MZR14 MPV14 MFZ14 LWD14 LMH14 LCL14 KSP14 KIT14 JYX14 JPB14 JFF14 IVJ14 ILN14 IBR14 HRV14 HHZ14 GYD14 GOH14 GEL14 FUP14 FKT14 FAX14 ERB14 EHF14 DXJ14 DNN14 DDR14 CTV14 CJZ14 CAD14 BQH14 BGL14 AWP14 AMT14 ACX14 TB14 JF14" xr:uid="{00000000-0002-0000-0000-000000000000}">
      <formula1>$D$68:$E$68</formula1>
    </dataValidation>
    <dataValidation type="list" allowBlank="1" showInputMessage="1" showErrorMessage="1" sqref="C56:C57 WLV983060 WBZ983060 VSD983060 VIH983060 UYL983060 UOP983060 UET983060 TUX983060 TLB983060 TBF983060 SRJ983060 SHN983060 RXR983060 RNV983060 RDZ983060 QUD983060 QKH983060 QAL983060 PQP983060 PGT983060 OWX983060 ONB983060 ODF983060 NTJ983060 NJN983060 MZR983060 MPV983060 MFZ983060 LWD983060 LMH983060 LCL983060 KSP983060 KIT983060 JYX983060 JPB983060 JFF983060 IVJ983060 ILN983060 IBR983060 HRV983060 HHZ983060 GYD983060 GOH983060 GEL983060 FUP983060 FKT983060 FAX983060 ERB983060 EHF983060 DXJ983060 DNN983060 DDR983060 CTV983060 CJZ983060 CAD983060 BQH983060 BGL983060 AWP983060 AMT983060 ACX983060 TB983060 JF983060 J983060 WVR917524 WLV917524 WBZ917524 VSD917524 VIH917524 UYL917524 UOP917524 UET917524 TUX917524 TLB917524 TBF917524 SRJ917524 SHN917524 RXR917524 RNV917524 RDZ917524 QUD917524 QKH917524 QAL917524 PQP917524 PGT917524 OWX917524 ONB917524 ODF917524 NTJ917524 NJN917524 MZR917524 MPV917524 MFZ917524 LWD917524 LMH917524 LCL917524 KSP917524 KIT917524 JYX917524 JPB917524 JFF917524 IVJ917524 ILN917524 IBR917524 HRV917524 HHZ917524 GYD917524 GOH917524 GEL917524 FUP917524 FKT917524 FAX917524 ERB917524 EHF917524 DXJ917524 DNN917524 DDR917524 CTV917524 CJZ917524 CAD917524 BQH917524 BGL917524 AWP917524 AMT917524 ACX917524 TB917524 JF917524 J917524 WVR851988 WLV851988 WBZ851988 VSD851988 VIH851988 UYL851988 UOP851988 UET851988 TUX851988 TLB851988 TBF851988 SRJ851988 SHN851988 RXR851988 RNV851988 RDZ851988 QUD851988 QKH851988 QAL851988 PQP851988 PGT851988 OWX851988 ONB851988 ODF851988 NTJ851988 NJN851988 MZR851988 MPV851988 MFZ851988 LWD851988 LMH851988 LCL851988 KSP851988 KIT851988 JYX851988 JPB851988 JFF851988 IVJ851988 ILN851988 IBR851988 HRV851988 HHZ851988 GYD851988 GOH851988 GEL851988 FUP851988 FKT851988 FAX851988 ERB851988 EHF851988 DXJ851988 DNN851988 DDR851988 CTV851988 CJZ851988 CAD851988 BQH851988 BGL851988 AWP851988 AMT851988 ACX851988 TB851988 JF851988 J851988 WVR786452 WLV786452 WBZ786452 VSD786452 VIH786452 UYL786452 UOP786452 UET786452 TUX786452 TLB786452 TBF786452 SRJ786452 SHN786452 RXR786452 RNV786452 RDZ786452 QUD786452 QKH786452 QAL786452 PQP786452 PGT786452 OWX786452 ONB786452 ODF786452 NTJ786452 NJN786452 MZR786452 MPV786452 MFZ786452 LWD786452 LMH786452 LCL786452 KSP786452 KIT786452 JYX786452 JPB786452 JFF786452 IVJ786452 ILN786452 IBR786452 HRV786452 HHZ786452 GYD786452 GOH786452 GEL786452 FUP786452 FKT786452 FAX786452 ERB786452 EHF786452 DXJ786452 DNN786452 DDR786452 CTV786452 CJZ786452 CAD786452 BQH786452 BGL786452 AWP786452 AMT786452 ACX786452 TB786452 JF786452 J786452 WVR720916 WLV720916 WBZ720916 VSD720916 VIH720916 UYL720916 UOP720916 UET720916 TUX720916 TLB720916 TBF720916 SRJ720916 SHN720916 RXR720916 RNV720916 RDZ720916 QUD720916 QKH720916 QAL720916 PQP720916 PGT720916 OWX720916 ONB720916 ODF720916 NTJ720916 NJN720916 MZR720916 MPV720916 MFZ720916 LWD720916 LMH720916 LCL720916 KSP720916 KIT720916 JYX720916 JPB720916 JFF720916 IVJ720916 ILN720916 IBR720916 HRV720916 HHZ720916 GYD720916 GOH720916 GEL720916 FUP720916 FKT720916 FAX720916 ERB720916 EHF720916 DXJ720916 DNN720916 DDR720916 CTV720916 CJZ720916 CAD720916 BQH720916 BGL720916 AWP720916 AMT720916 ACX720916 TB720916 JF720916 J720916 WVR655380 WLV655380 WBZ655380 VSD655380 VIH655380 UYL655380 UOP655380 UET655380 TUX655380 TLB655380 TBF655380 SRJ655380 SHN655380 RXR655380 RNV655380 RDZ655380 QUD655380 QKH655380 QAL655380 PQP655380 PGT655380 OWX655380 ONB655380 ODF655380 NTJ655380 NJN655380 MZR655380 MPV655380 MFZ655380 LWD655380 LMH655380 LCL655380 KSP655380 KIT655380 JYX655380 JPB655380 JFF655380 IVJ655380 ILN655380 IBR655380 HRV655380 HHZ655380 GYD655380 GOH655380 GEL655380 FUP655380 FKT655380 FAX655380 ERB655380 EHF655380 DXJ655380 DNN655380 DDR655380 CTV655380 CJZ655380 CAD655380 BQH655380 BGL655380 AWP655380 AMT655380 ACX655380 TB655380 JF655380 J655380 WVR589844 WLV589844 WBZ589844 VSD589844 VIH589844 UYL589844 UOP589844 UET589844 TUX589844 TLB589844 TBF589844 SRJ589844 SHN589844 RXR589844 RNV589844 RDZ589844 QUD589844 QKH589844 QAL589844 PQP589844 PGT589844 OWX589844 ONB589844 ODF589844 NTJ589844 NJN589844 MZR589844 MPV589844 MFZ589844 LWD589844 LMH589844 LCL589844 KSP589844 KIT589844 JYX589844 JPB589844 JFF589844 IVJ589844 ILN589844 IBR589844 HRV589844 HHZ589844 GYD589844 GOH589844 GEL589844 FUP589844 FKT589844 FAX589844 ERB589844 EHF589844 DXJ589844 DNN589844 DDR589844 CTV589844 CJZ589844 CAD589844 BQH589844 BGL589844 AWP589844 AMT589844 ACX589844 TB589844 JF589844 J589844 WVR524308 WLV524308 WBZ524308 VSD524308 VIH524308 UYL524308 UOP524308 UET524308 TUX524308 TLB524308 TBF524308 SRJ524308 SHN524308 RXR524308 RNV524308 RDZ524308 QUD524308 QKH524308 QAL524308 PQP524308 PGT524308 OWX524308 ONB524308 ODF524308 NTJ524308 NJN524308 MZR524308 MPV524308 MFZ524308 LWD524308 LMH524308 LCL524308 KSP524308 KIT524308 JYX524308 JPB524308 JFF524308 IVJ524308 ILN524308 IBR524308 HRV524308 HHZ524308 GYD524308 GOH524308 GEL524308 FUP524308 FKT524308 FAX524308 ERB524308 EHF524308 DXJ524308 DNN524308 DDR524308 CTV524308 CJZ524308 CAD524308 BQH524308 BGL524308 AWP524308 AMT524308 ACX524308 TB524308 JF524308 J524308 WVR458772 WLV458772 WBZ458772 VSD458772 VIH458772 UYL458772 UOP458772 UET458772 TUX458772 TLB458772 TBF458772 SRJ458772 SHN458772 RXR458772 RNV458772 RDZ458772 QUD458772 QKH458772 QAL458772 PQP458772 PGT458772 OWX458772 ONB458772 ODF458772 NTJ458772 NJN458772 MZR458772 MPV458772 MFZ458772 LWD458772 LMH458772 LCL458772 KSP458772 KIT458772 JYX458772 JPB458772 JFF458772 IVJ458772 ILN458772 IBR458772 HRV458772 HHZ458772 GYD458772 GOH458772 GEL458772 FUP458772 FKT458772 FAX458772 ERB458772 EHF458772 DXJ458772 DNN458772 DDR458772 CTV458772 CJZ458772 CAD458772 BQH458772 BGL458772 AWP458772 AMT458772 ACX458772 TB458772 JF458772 J458772 WVR393236 WLV393236 WBZ393236 VSD393236 VIH393236 UYL393236 UOP393236 UET393236 TUX393236 TLB393236 TBF393236 SRJ393236 SHN393236 RXR393236 RNV393236 RDZ393236 QUD393236 QKH393236 QAL393236 PQP393236 PGT393236 OWX393236 ONB393236 ODF393236 NTJ393236 NJN393236 MZR393236 MPV393236 MFZ393236 LWD393236 LMH393236 LCL393236 KSP393236 KIT393236 JYX393236 JPB393236 JFF393236 IVJ393236 ILN393236 IBR393236 HRV393236 HHZ393236 GYD393236 GOH393236 GEL393236 FUP393236 FKT393236 FAX393236 ERB393236 EHF393236 DXJ393236 DNN393236 DDR393236 CTV393236 CJZ393236 CAD393236 BQH393236 BGL393236 AWP393236 AMT393236 ACX393236 TB393236 JF393236 J393236 WVR327700 WLV327700 WBZ327700 VSD327700 VIH327700 UYL327700 UOP327700 UET327700 TUX327700 TLB327700 TBF327700 SRJ327700 SHN327700 RXR327700 RNV327700 RDZ327700 QUD327700 QKH327700 QAL327700 PQP327700 PGT327700 OWX327700 ONB327700 ODF327700 NTJ327700 NJN327700 MZR327700 MPV327700 MFZ327700 LWD327700 LMH327700 LCL327700 KSP327700 KIT327700 JYX327700 JPB327700 JFF327700 IVJ327700 ILN327700 IBR327700 HRV327700 HHZ327700 GYD327700 GOH327700 GEL327700 FUP327700 FKT327700 FAX327700 ERB327700 EHF327700 DXJ327700 DNN327700 DDR327700 CTV327700 CJZ327700 CAD327700 BQH327700 BGL327700 AWP327700 AMT327700 ACX327700 TB327700 JF327700 J327700 WVR262164 WLV262164 WBZ262164 VSD262164 VIH262164 UYL262164 UOP262164 UET262164 TUX262164 TLB262164 TBF262164 SRJ262164 SHN262164 RXR262164 RNV262164 RDZ262164 QUD262164 QKH262164 QAL262164 PQP262164 PGT262164 OWX262164 ONB262164 ODF262164 NTJ262164 NJN262164 MZR262164 MPV262164 MFZ262164 LWD262164 LMH262164 LCL262164 KSP262164 KIT262164 JYX262164 JPB262164 JFF262164 IVJ262164 ILN262164 IBR262164 HRV262164 HHZ262164 GYD262164 GOH262164 GEL262164 FUP262164 FKT262164 FAX262164 ERB262164 EHF262164 DXJ262164 DNN262164 DDR262164 CTV262164 CJZ262164 CAD262164 BQH262164 BGL262164 AWP262164 AMT262164 ACX262164 TB262164 JF262164 J262164 WVR196628 WLV196628 WBZ196628 VSD196628 VIH196628 UYL196628 UOP196628 UET196628 TUX196628 TLB196628 TBF196628 SRJ196628 SHN196628 RXR196628 RNV196628 RDZ196628 QUD196628 QKH196628 QAL196628 PQP196628 PGT196628 OWX196628 ONB196628 ODF196628 NTJ196628 NJN196628 MZR196628 MPV196628 MFZ196628 LWD196628 LMH196628 LCL196628 KSP196628 KIT196628 JYX196628 JPB196628 JFF196628 IVJ196628 ILN196628 IBR196628 HRV196628 HHZ196628 GYD196628 GOH196628 GEL196628 FUP196628 FKT196628 FAX196628 ERB196628 EHF196628 DXJ196628 DNN196628 DDR196628 CTV196628 CJZ196628 CAD196628 BQH196628 BGL196628 AWP196628 AMT196628 ACX196628 TB196628 JF196628 J196628 WVR131092 WLV131092 WBZ131092 VSD131092 VIH131092 UYL131092 UOP131092 UET131092 TUX131092 TLB131092 TBF131092 SRJ131092 SHN131092 RXR131092 RNV131092 RDZ131092 QUD131092 QKH131092 QAL131092 PQP131092 PGT131092 OWX131092 ONB131092 ODF131092 NTJ131092 NJN131092 MZR131092 MPV131092 MFZ131092 LWD131092 LMH131092 LCL131092 KSP131092 KIT131092 JYX131092 JPB131092 JFF131092 IVJ131092 ILN131092 IBR131092 HRV131092 HHZ131092 GYD131092 GOH131092 GEL131092 FUP131092 FKT131092 FAX131092 ERB131092 EHF131092 DXJ131092 DNN131092 DDR131092 CTV131092 CJZ131092 CAD131092 BQH131092 BGL131092 AWP131092 AMT131092 ACX131092 TB131092 JF131092 J131092 WVR65556 WLV65556 WBZ65556 VSD65556 VIH65556 UYL65556 UOP65556 UET65556 TUX65556 TLB65556 TBF65556 SRJ65556 SHN65556 RXR65556 RNV65556 RDZ65556 QUD65556 QKH65556 QAL65556 PQP65556 PGT65556 OWX65556 ONB65556 ODF65556 NTJ65556 NJN65556 MZR65556 MPV65556 MFZ65556 LWD65556 LMH65556 LCL65556 KSP65556 KIT65556 JYX65556 JPB65556 JFF65556 IVJ65556 ILN65556 IBR65556 HRV65556 HHZ65556 GYD65556 GOH65556 GEL65556 FUP65556 FKT65556 FAX65556 ERB65556 EHF65556 DXJ65556 DNN65556 DDR65556 CTV65556 CJZ65556 CAD65556 BQH65556 BGL65556 AWP65556 AMT65556 ACX65556 TB65556 JF65556 J65556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WVR983060 WVK983097:WVK983098 WLO983097:WLO983098 WBS983097:WBS983098 VRW983097:VRW983098 VIA983097:VIA983098 UYE983097:UYE983098 UOI983097:UOI983098 UEM983097:UEM983098 TUQ983097:TUQ983098 TKU983097:TKU983098 TAY983097:TAY983098 SRC983097:SRC983098 SHG983097:SHG983098 RXK983097:RXK983098 RNO983097:RNO983098 RDS983097:RDS983098 QTW983097:QTW983098 QKA983097:QKA983098 QAE983097:QAE983098 PQI983097:PQI983098 PGM983097:PGM983098 OWQ983097:OWQ983098 OMU983097:OMU983098 OCY983097:OCY983098 NTC983097:NTC983098 NJG983097:NJG983098 MZK983097:MZK983098 MPO983097:MPO983098 MFS983097:MFS983098 LVW983097:LVW983098 LMA983097:LMA983098 LCE983097:LCE983098 KSI983097:KSI983098 KIM983097:KIM983098 JYQ983097:JYQ983098 JOU983097:JOU983098 JEY983097:JEY983098 IVC983097:IVC983098 ILG983097:ILG983098 IBK983097:IBK983098 HRO983097:HRO983098 HHS983097:HHS983098 GXW983097:GXW983098 GOA983097:GOA983098 GEE983097:GEE983098 FUI983097:FUI983098 FKM983097:FKM983098 FAQ983097:FAQ983098 EQU983097:EQU983098 EGY983097:EGY983098 DXC983097:DXC983098 DNG983097:DNG983098 DDK983097:DDK983098 CTO983097:CTO983098 CJS983097:CJS983098 BZW983097:BZW983098 BQA983097:BQA983098 BGE983097:BGE983098 AWI983097:AWI983098 AMM983097:AMM983098 ACQ983097:ACQ983098 SU983097:SU983098 IY983097:IY983098 C983096:C983097 WVK917561:WVK917562 WLO917561:WLO917562 WBS917561:WBS917562 VRW917561:VRW917562 VIA917561:VIA917562 UYE917561:UYE917562 UOI917561:UOI917562 UEM917561:UEM917562 TUQ917561:TUQ917562 TKU917561:TKU917562 TAY917561:TAY917562 SRC917561:SRC917562 SHG917561:SHG917562 RXK917561:RXK917562 RNO917561:RNO917562 RDS917561:RDS917562 QTW917561:QTW917562 QKA917561:QKA917562 QAE917561:QAE917562 PQI917561:PQI917562 PGM917561:PGM917562 OWQ917561:OWQ917562 OMU917561:OMU917562 OCY917561:OCY917562 NTC917561:NTC917562 NJG917561:NJG917562 MZK917561:MZK917562 MPO917561:MPO917562 MFS917561:MFS917562 LVW917561:LVW917562 LMA917561:LMA917562 LCE917561:LCE917562 KSI917561:KSI917562 KIM917561:KIM917562 JYQ917561:JYQ917562 JOU917561:JOU917562 JEY917561:JEY917562 IVC917561:IVC917562 ILG917561:ILG917562 IBK917561:IBK917562 HRO917561:HRO917562 HHS917561:HHS917562 GXW917561:GXW917562 GOA917561:GOA917562 GEE917561:GEE917562 FUI917561:FUI917562 FKM917561:FKM917562 FAQ917561:FAQ917562 EQU917561:EQU917562 EGY917561:EGY917562 DXC917561:DXC917562 DNG917561:DNG917562 DDK917561:DDK917562 CTO917561:CTO917562 CJS917561:CJS917562 BZW917561:BZW917562 BQA917561:BQA917562 BGE917561:BGE917562 AWI917561:AWI917562 AMM917561:AMM917562 ACQ917561:ACQ917562 SU917561:SU917562 IY917561:IY917562 C917560:C917561 WVK852025:WVK852026 WLO852025:WLO852026 WBS852025:WBS852026 VRW852025:VRW852026 VIA852025:VIA852026 UYE852025:UYE852026 UOI852025:UOI852026 UEM852025:UEM852026 TUQ852025:TUQ852026 TKU852025:TKU852026 TAY852025:TAY852026 SRC852025:SRC852026 SHG852025:SHG852026 RXK852025:RXK852026 RNO852025:RNO852026 RDS852025:RDS852026 QTW852025:QTW852026 QKA852025:QKA852026 QAE852025:QAE852026 PQI852025:PQI852026 PGM852025:PGM852026 OWQ852025:OWQ852026 OMU852025:OMU852026 OCY852025:OCY852026 NTC852025:NTC852026 NJG852025:NJG852026 MZK852025:MZK852026 MPO852025:MPO852026 MFS852025:MFS852026 LVW852025:LVW852026 LMA852025:LMA852026 LCE852025:LCE852026 KSI852025:KSI852026 KIM852025:KIM852026 JYQ852025:JYQ852026 JOU852025:JOU852026 JEY852025:JEY852026 IVC852025:IVC852026 ILG852025:ILG852026 IBK852025:IBK852026 HRO852025:HRO852026 HHS852025:HHS852026 GXW852025:GXW852026 GOA852025:GOA852026 GEE852025:GEE852026 FUI852025:FUI852026 FKM852025:FKM852026 FAQ852025:FAQ852026 EQU852025:EQU852026 EGY852025:EGY852026 DXC852025:DXC852026 DNG852025:DNG852026 DDK852025:DDK852026 CTO852025:CTO852026 CJS852025:CJS852026 BZW852025:BZW852026 BQA852025:BQA852026 BGE852025:BGE852026 AWI852025:AWI852026 AMM852025:AMM852026 ACQ852025:ACQ852026 SU852025:SU852026 IY852025:IY852026 C852024:C852025 WVK786489:WVK786490 WLO786489:WLO786490 WBS786489:WBS786490 VRW786489:VRW786490 VIA786489:VIA786490 UYE786489:UYE786490 UOI786489:UOI786490 UEM786489:UEM786490 TUQ786489:TUQ786490 TKU786489:TKU786490 TAY786489:TAY786490 SRC786489:SRC786490 SHG786489:SHG786490 RXK786489:RXK786490 RNO786489:RNO786490 RDS786489:RDS786490 QTW786489:QTW786490 QKA786489:QKA786490 QAE786489:QAE786490 PQI786489:PQI786490 PGM786489:PGM786490 OWQ786489:OWQ786490 OMU786489:OMU786490 OCY786489:OCY786490 NTC786489:NTC786490 NJG786489:NJG786490 MZK786489:MZK786490 MPO786489:MPO786490 MFS786489:MFS786490 LVW786489:LVW786490 LMA786489:LMA786490 LCE786489:LCE786490 KSI786489:KSI786490 KIM786489:KIM786490 JYQ786489:JYQ786490 JOU786489:JOU786490 JEY786489:JEY786490 IVC786489:IVC786490 ILG786489:ILG786490 IBK786489:IBK786490 HRO786489:HRO786490 HHS786489:HHS786490 GXW786489:GXW786490 GOA786489:GOA786490 GEE786489:GEE786490 FUI786489:FUI786490 FKM786489:FKM786490 FAQ786489:FAQ786490 EQU786489:EQU786490 EGY786489:EGY786490 DXC786489:DXC786490 DNG786489:DNG786490 DDK786489:DDK786490 CTO786489:CTO786490 CJS786489:CJS786490 BZW786489:BZW786490 BQA786489:BQA786490 BGE786489:BGE786490 AWI786489:AWI786490 AMM786489:AMM786490 ACQ786489:ACQ786490 SU786489:SU786490 IY786489:IY786490 C786488:C786489 WVK720953:WVK720954 WLO720953:WLO720954 WBS720953:WBS720954 VRW720953:VRW720954 VIA720953:VIA720954 UYE720953:UYE720954 UOI720953:UOI720954 UEM720953:UEM720954 TUQ720953:TUQ720954 TKU720953:TKU720954 TAY720953:TAY720954 SRC720953:SRC720954 SHG720953:SHG720954 RXK720953:RXK720954 RNO720953:RNO720954 RDS720953:RDS720954 QTW720953:QTW720954 QKA720953:QKA720954 QAE720953:QAE720954 PQI720953:PQI720954 PGM720953:PGM720954 OWQ720953:OWQ720954 OMU720953:OMU720954 OCY720953:OCY720954 NTC720953:NTC720954 NJG720953:NJG720954 MZK720953:MZK720954 MPO720953:MPO720954 MFS720953:MFS720954 LVW720953:LVW720954 LMA720953:LMA720954 LCE720953:LCE720954 KSI720953:KSI720954 KIM720953:KIM720954 JYQ720953:JYQ720954 JOU720953:JOU720954 JEY720953:JEY720954 IVC720953:IVC720954 ILG720953:ILG720954 IBK720953:IBK720954 HRO720953:HRO720954 HHS720953:HHS720954 GXW720953:GXW720954 GOA720953:GOA720954 GEE720953:GEE720954 FUI720953:FUI720954 FKM720953:FKM720954 FAQ720953:FAQ720954 EQU720953:EQU720954 EGY720953:EGY720954 DXC720953:DXC720954 DNG720953:DNG720954 DDK720953:DDK720954 CTO720953:CTO720954 CJS720953:CJS720954 BZW720953:BZW720954 BQA720953:BQA720954 BGE720953:BGE720954 AWI720953:AWI720954 AMM720953:AMM720954 ACQ720953:ACQ720954 SU720953:SU720954 IY720953:IY720954 C720952:C720953 WVK655417:WVK655418 WLO655417:WLO655418 WBS655417:WBS655418 VRW655417:VRW655418 VIA655417:VIA655418 UYE655417:UYE655418 UOI655417:UOI655418 UEM655417:UEM655418 TUQ655417:TUQ655418 TKU655417:TKU655418 TAY655417:TAY655418 SRC655417:SRC655418 SHG655417:SHG655418 RXK655417:RXK655418 RNO655417:RNO655418 RDS655417:RDS655418 QTW655417:QTW655418 QKA655417:QKA655418 QAE655417:QAE655418 PQI655417:PQI655418 PGM655417:PGM655418 OWQ655417:OWQ655418 OMU655417:OMU655418 OCY655417:OCY655418 NTC655417:NTC655418 NJG655417:NJG655418 MZK655417:MZK655418 MPO655417:MPO655418 MFS655417:MFS655418 LVW655417:LVW655418 LMA655417:LMA655418 LCE655417:LCE655418 KSI655417:KSI655418 KIM655417:KIM655418 JYQ655417:JYQ655418 JOU655417:JOU655418 JEY655417:JEY655418 IVC655417:IVC655418 ILG655417:ILG655418 IBK655417:IBK655418 HRO655417:HRO655418 HHS655417:HHS655418 GXW655417:GXW655418 GOA655417:GOA655418 GEE655417:GEE655418 FUI655417:FUI655418 FKM655417:FKM655418 FAQ655417:FAQ655418 EQU655417:EQU655418 EGY655417:EGY655418 DXC655417:DXC655418 DNG655417:DNG655418 DDK655417:DDK655418 CTO655417:CTO655418 CJS655417:CJS655418 BZW655417:BZW655418 BQA655417:BQA655418 BGE655417:BGE655418 AWI655417:AWI655418 AMM655417:AMM655418 ACQ655417:ACQ655418 SU655417:SU655418 IY655417:IY655418 C655416:C655417 WVK589881:WVK589882 WLO589881:WLO589882 WBS589881:WBS589882 VRW589881:VRW589882 VIA589881:VIA589882 UYE589881:UYE589882 UOI589881:UOI589882 UEM589881:UEM589882 TUQ589881:TUQ589882 TKU589881:TKU589882 TAY589881:TAY589882 SRC589881:SRC589882 SHG589881:SHG589882 RXK589881:RXK589882 RNO589881:RNO589882 RDS589881:RDS589882 QTW589881:QTW589882 QKA589881:QKA589882 QAE589881:QAE589882 PQI589881:PQI589882 PGM589881:PGM589882 OWQ589881:OWQ589882 OMU589881:OMU589882 OCY589881:OCY589882 NTC589881:NTC589882 NJG589881:NJG589882 MZK589881:MZK589882 MPO589881:MPO589882 MFS589881:MFS589882 LVW589881:LVW589882 LMA589881:LMA589882 LCE589881:LCE589882 KSI589881:KSI589882 KIM589881:KIM589882 JYQ589881:JYQ589882 JOU589881:JOU589882 JEY589881:JEY589882 IVC589881:IVC589882 ILG589881:ILG589882 IBK589881:IBK589882 HRO589881:HRO589882 HHS589881:HHS589882 GXW589881:GXW589882 GOA589881:GOA589882 GEE589881:GEE589882 FUI589881:FUI589882 FKM589881:FKM589882 FAQ589881:FAQ589882 EQU589881:EQU589882 EGY589881:EGY589882 DXC589881:DXC589882 DNG589881:DNG589882 DDK589881:DDK589882 CTO589881:CTO589882 CJS589881:CJS589882 BZW589881:BZW589882 BQA589881:BQA589882 BGE589881:BGE589882 AWI589881:AWI589882 AMM589881:AMM589882 ACQ589881:ACQ589882 SU589881:SU589882 IY589881:IY589882 C589880:C589881 WVK524345:WVK524346 WLO524345:WLO524346 WBS524345:WBS524346 VRW524345:VRW524346 VIA524345:VIA524346 UYE524345:UYE524346 UOI524345:UOI524346 UEM524345:UEM524346 TUQ524345:TUQ524346 TKU524345:TKU524346 TAY524345:TAY524346 SRC524345:SRC524346 SHG524345:SHG524346 RXK524345:RXK524346 RNO524345:RNO524346 RDS524345:RDS524346 QTW524345:QTW524346 QKA524345:QKA524346 QAE524345:QAE524346 PQI524345:PQI524346 PGM524345:PGM524346 OWQ524345:OWQ524346 OMU524345:OMU524346 OCY524345:OCY524346 NTC524345:NTC524346 NJG524345:NJG524346 MZK524345:MZK524346 MPO524345:MPO524346 MFS524345:MFS524346 LVW524345:LVW524346 LMA524345:LMA524346 LCE524345:LCE524346 KSI524345:KSI524346 KIM524345:KIM524346 JYQ524345:JYQ524346 JOU524345:JOU524346 JEY524345:JEY524346 IVC524345:IVC524346 ILG524345:ILG524346 IBK524345:IBK524346 HRO524345:HRO524346 HHS524345:HHS524346 GXW524345:GXW524346 GOA524345:GOA524346 GEE524345:GEE524346 FUI524345:FUI524346 FKM524345:FKM524346 FAQ524345:FAQ524346 EQU524345:EQU524346 EGY524345:EGY524346 DXC524345:DXC524346 DNG524345:DNG524346 DDK524345:DDK524346 CTO524345:CTO524346 CJS524345:CJS524346 BZW524345:BZW524346 BQA524345:BQA524346 BGE524345:BGE524346 AWI524345:AWI524346 AMM524345:AMM524346 ACQ524345:ACQ524346 SU524345:SU524346 IY524345:IY524346 C524344:C524345 WVK458809:WVK458810 WLO458809:WLO458810 WBS458809:WBS458810 VRW458809:VRW458810 VIA458809:VIA458810 UYE458809:UYE458810 UOI458809:UOI458810 UEM458809:UEM458810 TUQ458809:TUQ458810 TKU458809:TKU458810 TAY458809:TAY458810 SRC458809:SRC458810 SHG458809:SHG458810 RXK458809:RXK458810 RNO458809:RNO458810 RDS458809:RDS458810 QTW458809:QTW458810 QKA458809:QKA458810 QAE458809:QAE458810 PQI458809:PQI458810 PGM458809:PGM458810 OWQ458809:OWQ458810 OMU458809:OMU458810 OCY458809:OCY458810 NTC458809:NTC458810 NJG458809:NJG458810 MZK458809:MZK458810 MPO458809:MPO458810 MFS458809:MFS458810 LVW458809:LVW458810 LMA458809:LMA458810 LCE458809:LCE458810 KSI458809:KSI458810 KIM458809:KIM458810 JYQ458809:JYQ458810 JOU458809:JOU458810 JEY458809:JEY458810 IVC458809:IVC458810 ILG458809:ILG458810 IBK458809:IBK458810 HRO458809:HRO458810 HHS458809:HHS458810 GXW458809:GXW458810 GOA458809:GOA458810 GEE458809:GEE458810 FUI458809:FUI458810 FKM458809:FKM458810 FAQ458809:FAQ458810 EQU458809:EQU458810 EGY458809:EGY458810 DXC458809:DXC458810 DNG458809:DNG458810 DDK458809:DDK458810 CTO458809:CTO458810 CJS458809:CJS458810 BZW458809:BZW458810 BQA458809:BQA458810 BGE458809:BGE458810 AWI458809:AWI458810 AMM458809:AMM458810 ACQ458809:ACQ458810 SU458809:SU458810 IY458809:IY458810 C458808:C458809 WVK393273:WVK393274 WLO393273:WLO393274 WBS393273:WBS393274 VRW393273:VRW393274 VIA393273:VIA393274 UYE393273:UYE393274 UOI393273:UOI393274 UEM393273:UEM393274 TUQ393273:TUQ393274 TKU393273:TKU393274 TAY393273:TAY393274 SRC393273:SRC393274 SHG393273:SHG393274 RXK393273:RXK393274 RNO393273:RNO393274 RDS393273:RDS393274 QTW393273:QTW393274 QKA393273:QKA393274 QAE393273:QAE393274 PQI393273:PQI393274 PGM393273:PGM393274 OWQ393273:OWQ393274 OMU393273:OMU393274 OCY393273:OCY393274 NTC393273:NTC393274 NJG393273:NJG393274 MZK393273:MZK393274 MPO393273:MPO393274 MFS393273:MFS393274 LVW393273:LVW393274 LMA393273:LMA393274 LCE393273:LCE393274 KSI393273:KSI393274 KIM393273:KIM393274 JYQ393273:JYQ393274 JOU393273:JOU393274 JEY393273:JEY393274 IVC393273:IVC393274 ILG393273:ILG393274 IBK393273:IBK393274 HRO393273:HRO393274 HHS393273:HHS393274 GXW393273:GXW393274 GOA393273:GOA393274 GEE393273:GEE393274 FUI393273:FUI393274 FKM393273:FKM393274 FAQ393273:FAQ393274 EQU393273:EQU393274 EGY393273:EGY393274 DXC393273:DXC393274 DNG393273:DNG393274 DDK393273:DDK393274 CTO393273:CTO393274 CJS393273:CJS393274 BZW393273:BZW393274 BQA393273:BQA393274 BGE393273:BGE393274 AWI393273:AWI393274 AMM393273:AMM393274 ACQ393273:ACQ393274 SU393273:SU393274 IY393273:IY393274 C393272:C393273 WVK327737:WVK327738 WLO327737:WLO327738 WBS327737:WBS327738 VRW327737:VRW327738 VIA327737:VIA327738 UYE327737:UYE327738 UOI327737:UOI327738 UEM327737:UEM327738 TUQ327737:TUQ327738 TKU327737:TKU327738 TAY327737:TAY327738 SRC327737:SRC327738 SHG327737:SHG327738 RXK327737:RXK327738 RNO327737:RNO327738 RDS327737:RDS327738 QTW327737:QTW327738 QKA327737:QKA327738 QAE327737:QAE327738 PQI327737:PQI327738 PGM327737:PGM327738 OWQ327737:OWQ327738 OMU327737:OMU327738 OCY327737:OCY327738 NTC327737:NTC327738 NJG327737:NJG327738 MZK327737:MZK327738 MPO327737:MPO327738 MFS327737:MFS327738 LVW327737:LVW327738 LMA327737:LMA327738 LCE327737:LCE327738 KSI327737:KSI327738 KIM327737:KIM327738 JYQ327737:JYQ327738 JOU327737:JOU327738 JEY327737:JEY327738 IVC327737:IVC327738 ILG327737:ILG327738 IBK327737:IBK327738 HRO327737:HRO327738 HHS327737:HHS327738 GXW327737:GXW327738 GOA327737:GOA327738 GEE327737:GEE327738 FUI327737:FUI327738 FKM327737:FKM327738 FAQ327737:FAQ327738 EQU327737:EQU327738 EGY327737:EGY327738 DXC327737:DXC327738 DNG327737:DNG327738 DDK327737:DDK327738 CTO327737:CTO327738 CJS327737:CJS327738 BZW327737:BZW327738 BQA327737:BQA327738 BGE327737:BGE327738 AWI327737:AWI327738 AMM327737:AMM327738 ACQ327737:ACQ327738 SU327737:SU327738 IY327737:IY327738 C327736:C327737 WVK262201:WVK262202 WLO262201:WLO262202 WBS262201:WBS262202 VRW262201:VRW262202 VIA262201:VIA262202 UYE262201:UYE262202 UOI262201:UOI262202 UEM262201:UEM262202 TUQ262201:TUQ262202 TKU262201:TKU262202 TAY262201:TAY262202 SRC262201:SRC262202 SHG262201:SHG262202 RXK262201:RXK262202 RNO262201:RNO262202 RDS262201:RDS262202 QTW262201:QTW262202 QKA262201:QKA262202 QAE262201:QAE262202 PQI262201:PQI262202 PGM262201:PGM262202 OWQ262201:OWQ262202 OMU262201:OMU262202 OCY262201:OCY262202 NTC262201:NTC262202 NJG262201:NJG262202 MZK262201:MZK262202 MPO262201:MPO262202 MFS262201:MFS262202 LVW262201:LVW262202 LMA262201:LMA262202 LCE262201:LCE262202 KSI262201:KSI262202 KIM262201:KIM262202 JYQ262201:JYQ262202 JOU262201:JOU262202 JEY262201:JEY262202 IVC262201:IVC262202 ILG262201:ILG262202 IBK262201:IBK262202 HRO262201:HRO262202 HHS262201:HHS262202 GXW262201:GXW262202 GOA262201:GOA262202 GEE262201:GEE262202 FUI262201:FUI262202 FKM262201:FKM262202 FAQ262201:FAQ262202 EQU262201:EQU262202 EGY262201:EGY262202 DXC262201:DXC262202 DNG262201:DNG262202 DDK262201:DDK262202 CTO262201:CTO262202 CJS262201:CJS262202 BZW262201:BZW262202 BQA262201:BQA262202 BGE262201:BGE262202 AWI262201:AWI262202 AMM262201:AMM262202 ACQ262201:ACQ262202 SU262201:SU262202 IY262201:IY262202 C262200:C262201 WVK196665:WVK196666 WLO196665:WLO196666 WBS196665:WBS196666 VRW196665:VRW196666 VIA196665:VIA196666 UYE196665:UYE196666 UOI196665:UOI196666 UEM196665:UEM196666 TUQ196665:TUQ196666 TKU196665:TKU196666 TAY196665:TAY196666 SRC196665:SRC196666 SHG196665:SHG196666 RXK196665:RXK196666 RNO196665:RNO196666 RDS196665:RDS196666 QTW196665:QTW196666 QKA196665:QKA196666 QAE196665:QAE196666 PQI196665:PQI196666 PGM196665:PGM196666 OWQ196665:OWQ196666 OMU196665:OMU196666 OCY196665:OCY196666 NTC196665:NTC196666 NJG196665:NJG196666 MZK196665:MZK196666 MPO196665:MPO196666 MFS196665:MFS196666 LVW196665:LVW196666 LMA196665:LMA196666 LCE196665:LCE196666 KSI196665:KSI196666 KIM196665:KIM196666 JYQ196665:JYQ196666 JOU196665:JOU196666 JEY196665:JEY196666 IVC196665:IVC196666 ILG196665:ILG196666 IBK196665:IBK196666 HRO196665:HRO196666 HHS196665:HHS196666 GXW196665:GXW196666 GOA196665:GOA196666 GEE196665:GEE196666 FUI196665:FUI196666 FKM196665:FKM196666 FAQ196665:FAQ196666 EQU196665:EQU196666 EGY196665:EGY196666 DXC196665:DXC196666 DNG196665:DNG196666 DDK196665:DDK196666 CTO196665:CTO196666 CJS196665:CJS196666 BZW196665:BZW196666 BQA196665:BQA196666 BGE196665:BGE196666 AWI196665:AWI196666 AMM196665:AMM196666 ACQ196665:ACQ196666 SU196665:SU196666 IY196665:IY196666 C196664:C196665 WVK131129:WVK131130 WLO131129:WLO131130 WBS131129:WBS131130 VRW131129:VRW131130 VIA131129:VIA131130 UYE131129:UYE131130 UOI131129:UOI131130 UEM131129:UEM131130 TUQ131129:TUQ131130 TKU131129:TKU131130 TAY131129:TAY131130 SRC131129:SRC131130 SHG131129:SHG131130 RXK131129:RXK131130 RNO131129:RNO131130 RDS131129:RDS131130 QTW131129:QTW131130 QKA131129:QKA131130 QAE131129:QAE131130 PQI131129:PQI131130 PGM131129:PGM131130 OWQ131129:OWQ131130 OMU131129:OMU131130 OCY131129:OCY131130 NTC131129:NTC131130 NJG131129:NJG131130 MZK131129:MZK131130 MPO131129:MPO131130 MFS131129:MFS131130 LVW131129:LVW131130 LMA131129:LMA131130 LCE131129:LCE131130 KSI131129:KSI131130 KIM131129:KIM131130 JYQ131129:JYQ131130 JOU131129:JOU131130 JEY131129:JEY131130 IVC131129:IVC131130 ILG131129:ILG131130 IBK131129:IBK131130 HRO131129:HRO131130 HHS131129:HHS131130 GXW131129:GXW131130 GOA131129:GOA131130 GEE131129:GEE131130 FUI131129:FUI131130 FKM131129:FKM131130 FAQ131129:FAQ131130 EQU131129:EQU131130 EGY131129:EGY131130 DXC131129:DXC131130 DNG131129:DNG131130 DDK131129:DDK131130 CTO131129:CTO131130 CJS131129:CJS131130 BZW131129:BZW131130 BQA131129:BQA131130 BGE131129:BGE131130 AWI131129:AWI131130 AMM131129:AMM131130 ACQ131129:ACQ131130 SU131129:SU131130 IY131129:IY131130 C131128:C131129 WVK65593:WVK65594 WLO65593:WLO65594 WBS65593:WBS65594 VRW65593:VRW65594 VIA65593:VIA65594 UYE65593:UYE65594 UOI65593:UOI65594 UEM65593:UEM65594 TUQ65593:TUQ65594 TKU65593:TKU65594 TAY65593:TAY65594 SRC65593:SRC65594 SHG65593:SHG65594 RXK65593:RXK65594 RNO65593:RNO65594 RDS65593:RDS65594 QTW65593:QTW65594 QKA65593:QKA65594 QAE65593:QAE65594 PQI65593:PQI65594 PGM65593:PGM65594 OWQ65593:OWQ65594 OMU65593:OMU65594 OCY65593:OCY65594 NTC65593:NTC65594 NJG65593:NJG65594 MZK65593:MZK65594 MPO65593:MPO65594 MFS65593:MFS65594 LVW65593:LVW65594 LMA65593:LMA65594 LCE65593:LCE65594 KSI65593:KSI65594 KIM65593:KIM65594 JYQ65593:JYQ65594 JOU65593:JOU65594 JEY65593:JEY65594 IVC65593:IVC65594 ILG65593:ILG65594 IBK65593:IBK65594 HRO65593:HRO65594 HHS65593:HHS65594 GXW65593:GXW65594 GOA65593:GOA65594 GEE65593:GEE65594 FUI65593:FUI65594 FKM65593:FKM65594 FAQ65593:FAQ65594 EQU65593:EQU65594 EGY65593:EGY65594 DXC65593:DXC65594 DNG65593:DNG65594 DDK65593:DDK65594 CTO65593:CTO65594 CJS65593:CJS65594 BZW65593:BZW65594 BQA65593:BQA65594 BGE65593:BGE65594 AWI65593:AWI65594 AMM65593:AMM65594 ACQ65593:ACQ65594 SU65593:SU65594 IY65593:IY65594 C65592:C65593 WVK57:WVK58 WLO57:WLO58 WBS57:WBS58 VRW57:VRW58 VIA57:VIA58 UYE57:UYE58 UOI57:UOI58 UEM57:UEM58 TUQ57:TUQ58 TKU57:TKU58 TAY57:TAY58 SRC57:SRC58 SHG57:SHG58 RXK57:RXK58 RNO57:RNO58 RDS57:RDS58 QTW57:QTW58 QKA57:QKA58 QAE57:QAE58 PQI57:PQI58 PGM57:PGM58 OWQ57:OWQ58 OMU57:OMU58 OCY57:OCY58 NTC57:NTC58 NJG57:NJG58 MZK57:MZK58 MPO57:MPO58 MFS57:MFS58 LVW57:LVW58 LMA57:LMA58 LCE57:LCE58 KSI57:KSI58 KIM57:KIM58 JYQ57:JYQ58 JOU57:JOU58 JEY57:JEY58 IVC57:IVC58 ILG57:ILG58 IBK57:IBK58 HRO57:HRO58 HHS57:HHS58 GXW57:GXW58 GOA57:GOA58 GEE57:GEE58 FUI57:FUI58 FKM57:FKM58 FAQ57:FAQ58 EQU57:EQU58 EGY57:EGY58 DXC57:DXC58 DNG57:DNG58 DDK57:DDK58 CTO57:CTO58 CJS57:CJS58 BZW57:BZW58 BQA57:BQA58 BGE57:BGE58 AWI57:AWI58 AMM57:AMM58 ACQ57:ACQ58 SU57:SU58 IY57:IY58" xr:uid="{00000000-0002-0000-0000-000001000000}">
      <formula1>$D$68:$E$68</formula1>
    </dataValidation>
    <dataValidation type="list" showInputMessage="1" showErrorMessage="1" sqref="WVR98307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xr:uid="{00000000-0002-0000-0000-000002000000}">
      <formula1>$D$68:$H$68</formula1>
    </dataValidation>
    <dataValidation type="list" allowBlank="1" showInputMessage="1" showErrorMessage="1" sqref="J48:J53" xr:uid="{00000000-0002-0000-0000-000003000000}">
      <formula1>$D$70:$I$70</formula1>
    </dataValidation>
    <dataValidation type="list" showInputMessage="1" showErrorMessage="1" sqref="J29" xr:uid="{388C35E0-6DF4-4779-8DE8-01F0A0A3CB08}">
      <formula1>$D$67:$E$67</formula1>
    </dataValidation>
  </dataValidations>
  <pageMargins left="0.5" right="0.5" top="0.75" bottom="0.75" header="0.5" footer="0.5"/>
  <pageSetup scale="52" fitToWidth="2" orientation="portrait" horizontalDpi="300" verticalDpi="300" r:id="rId1"/>
  <headerFooter alignWithMargins="0">
    <oddHeader>&amp;L&amp;"Verdana,Regular"Project Assumptions Page &amp;P of &amp;N</oddHeader>
    <oddFooter>&amp;L&amp;G&amp;C&amp;"Verdana,Regular"2105 1st Ave S, Minneapolis, MN 55404
Toll Free: 1-800-946-3640  Phone: 612-870-3461  Fax: 612-813-5612
info@windustry.org www.windustry.org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2"/>
  <sheetViews>
    <sheetView workbookViewId="0">
      <selection activeCell="F13" sqref="F13"/>
    </sheetView>
  </sheetViews>
  <sheetFormatPr baseColWidth="10" defaultColWidth="8.875" defaultRowHeight="12.75" x14ac:dyDescent="0.2"/>
  <cols>
    <col min="1" max="1" width="8.875" style="151" customWidth="1"/>
    <col min="2" max="2" width="37.5" style="151" customWidth="1"/>
    <col min="3" max="3" width="19" style="151" customWidth="1"/>
    <col min="4" max="4" width="9.125" style="151" hidden="1" customWidth="1"/>
    <col min="5" max="16384" width="8.875" style="151"/>
  </cols>
  <sheetData>
    <row r="1" spans="2:3" ht="13.5" thickBot="1" x14ac:dyDescent="0.25"/>
    <row r="2" spans="2:3" ht="27" thickTop="1" x14ac:dyDescent="0.4">
      <c r="B2" s="361" t="s">
        <v>16</v>
      </c>
      <c r="C2" s="362"/>
    </row>
    <row r="3" spans="2:3" x14ac:dyDescent="0.2">
      <c r="B3" s="167"/>
      <c r="C3" s="166"/>
    </row>
    <row r="4" spans="2:3" x14ac:dyDescent="0.2">
      <c r="B4" s="154" t="s">
        <v>17</v>
      </c>
      <c r="C4" s="165" t="str">
        <f>Assumptions!C9</f>
        <v>PV  SWP</v>
      </c>
    </row>
    <row r="5" spans="2:3" x14ac:dyDescent="0.2">
      <c r="B5" s="154" t="s">
        <v>18</v>
      </c>
      <c r="C5" s="164">
        <f>Assumptions!C14/1000</f>
        <v>3.696E-2</v>
      </c>
    </row>
    <row r="6" spans="2:3" x14ac:dyDescent="0.2">
      <c r="B6" s="163" t="s">
        <v>166</v>
      </c>
      <c r="C6" s="162" t="str">
        <f>Assumptions!C11</f>
        <v>IBC Solar</v>
      </c>
    </row>
    <row r="7" spans="2:3" x14ac:dyDescent="0.2">
      <c r="B7" s="154" t="s">
        <v>167</v>
      </c>
      <c r="C7" s="153">
        <f>C8/(C5*1000*365*24*20)</f>
        <v>8.4606164383561652E-2</v>
      </c>
    </row>
    <row r="8" spans="2:3" x14ac:dyDescent="0.2">
      <c r="B8" s="154" t="s">
        <v>168</v>
      </c>
      <c r="C8" s="161">
        <f>SUM('Pro Forma'!C12:V12)</f>
        <v>547858.08000000007</v>
      </c>
    </row>
    <row r="9" spans="2:3" x14ac:dyDescent="0.2">
      <c r="B9" s="154" t="s">
        <v>19</v>
      </c>
      <c r="C9" s="259">
        <f>Assumptions!C24</f>
        <v>0</v>
      </c>
    </row>
    <row r="10" spans="2:3" x14ac:dyDescent="0.2">
      <c r="B10" s="160" t="s">
        <v>169</v>
      </c>
      <c r="C10" s="260">
        <f>Assumptions!C26</f>
        <v>0</v>
      </c>
    </row>
    <row r="11" spans="2:3" x14ac:dyDescent="0.2">
      <c r="B11" s="160" t="s">
        <v>20</v>
      </c>
      <c r="C11" s="159" t="str">
        <f>IF(Assumptions!C30&gt;0,"Flip","All Local")</f>
        <v>All Local</v>
      </c>
    </row>
    <row r="12" spans="2:3" x14ac:dyDescent="0.2">
      <c r="B12" s="156"/>
      <c r="C12" s="155"/>
    </row>
    <row r="13" spans="2:3" x14ac:dyDescent="0.2">
      <c r="B13" s="154" t="s">
        <v>21</v>
      </c>
      <c r="C13" s="259">
        <f>Assumptions!C19</f>
        <v>78000</v>
      </c>
    </row>
    <row r="14" spans="2:3" x14ac:dyDescent="0.2">
      <c r="B14" s="156"/>
      <c r="C14" s="155"/>
    </row>
    <row r="15" spans="2:3" x14ac:dyDescent="0.2">
      <c r="B15" s="154" t="s">
        <v>22</v>
      </c>
      <c r="C15" s="259">
        <f>Assumptions!C38</f>
        <v>78000</v>
      </c>
    </row>
    <row r="16" spans="2:3" x14ac:dyDescent="0.2">
      <c r="B16" s="154" t="s">
        <v>23</v>
      </c>
      <c r="C16" s="153">
        <f>'Pro Forma'!B68</f>
        <v>5.6019036915898601E-2</v>
      </c>
    </row>
    <row r="17" spans="2:4" x14ac:dyDescent="0.2">
      <c r="B17" s="154" t="s">
        <v>24</v>
      </c>
      <c r="C17" s="259">
        <f>'Pro Forma'!B69</f>
        <v>48199.783155920493</v>
      </c>
    </row>
    <row r="18" spans="2:4" x14ac:dyDescent="0.2">
      <c r="B18" s="156"/>
      <c r="C18" s="155"/>
    </row>
    <row r="19" spans="2:4" ht="17.25" customHeight="1" x14ac:dyDescent="0.2">
      <c r="B19" s="154" t="s">
        <v>25</v>
      </c>
      <c r="C19" s="153">
        <f>Assumptions!C64</f>
        <v>0</v>
      </c>
    </row>
    <row r="20" spans="2:4" x14ac:dyDescent="0.2">
      <c r="B20" s="154" t="s">
        <v>26</v>
      </c>
      <c r="C20" s="259">
        <f>Assumptions!C39</f>
        <v>0</v>
      </c>
    </row>
    <row r="21" spans="2:4" x14ac:dyDescent="0.2">
      <c r="B21" s="154" t="s">
        <v>27</v>
      </c>
      <c r="C21" s="153" t="e">
        <f>'Pro Forma'!B73</f>
        <v>#NUM!</v>
      </c>
    </row>
    <row r="22" spans="2:4" x14ac:dyDescent="0.2">
      <c r="B22" s="154" t="s">
        <v>28</v>
      </c>
      <c r="C22" s="259">
        <f>'Pro Forma'!B74</f>
        <v>0</v>
      </c>
    </row>
    <row r="23" spans="2:4" x14ac:dyDescent="0.2">
      <c r="B23" s="156"/>
      <c r="C23" s="155"/>
    </row>
    <row r="24" spans="2:4" ht="13.5" customHeight="1" x14ac:dyDescent="0.2">
      <c r="B24" s="154" t="s">
        <v>29</v>
      </c>
      <c r="C24" s="158">
        <f t="array" ref="C24">MIN(IF('Pro Forma'!C76:'Pro Forma'!V76&gt;0,'Pro Forma'!C76:'Pro Forma'!V76))</f>
        <v>0</v>
      </c>
      <c r="D24" s="151">
        <f>Assumptions!C49</f>
        <v>0</v>
      </c>
    </row>
    <row r="25" spans="2:4" x14ac:dyDescent="0.2">
      <c r="B25" s="154" t="s">
        <v>30</v>
      </c>
      <c r="C25" s="157">
        <f>'Pro Forma'!B62</f>
        <v>9.2766720751214934E-2</v>
      </c>
    </row>
    <row r="26" spans="2:4" x14ac:dyDescent="0.2">
      <c r="B26" s="154" t="s">
        <v>31</v>
      </c>
      <c r="C26" s="259">
        <f>'Pro Forma'!B63</f>
        <v>2110.3896103896104</v>
      </c>
    </row>
    <row r="27" spans="2:4" x14ac:dyDescent="0.2">
      <c r="B27" s="156"/>
      <c r="C27" s="155"/>
    </row>
    <row r="28" spans="2:4" x14ac:dyDescent="0.2">
      <c r="B28" s="154" t="s">
        <v>164</v>
      </c>
      <c r="C28" s="153">
        <f>'Pro Forma'!B64</f>
        <v>4.0310478618460488E-2</v>
      </c>
    </row>
    <row r="29" spans="2:4" ht="13.5" thickBot="1" x14ac:dyDescent="0.25">
      <c r="B29" s="152" t="s">
        <v>165</v>
      </c>
      <c r="C29" s="261">
        <f>'Pro Forma'!B65</f>
        <v>32761.301387497588</v>
      </c>
    </row>
    <row r="30" spans="2:4" ht="13.5" thickTop="1" x14ac:dyDescent="0.2">
      <c r="B30" s="156"/>
      <c r="C30" s="155"/>
    </row>
    <row r="31" spans="2:4" ht="13.5" thickBot="1" x14ac:dyDescent="0.25">
      <c r="B31" s="152" t="s">
        <v>209</v>
      </c>
      <c r="C31" s="304">
        <f>Assumptions!J54</f>
        <v>4.166666666666667</v>
      </c>
    </row>
    <row r="32" spans="2:4" ht="13.5" thickTop="1" x14ac:dyDescent="0.2"/>
  </sheetData>
  <sheetProtection algorithmName="SHA-512" hashValue="CmeJuQUEV5saNlk2CvAAh/8sQgN/cBIqScmiCXHSaa6h8gA/uzbJoLIgtC2AiICY1jxKeUnk+jhZzl0DtZY/8A==" saltValue="qSJPoYJ+j1OZUHxn2G3T+Q==" spinCount="100000" sheet="1"/>
  <mergeCells count="1">
    <mergeCell ref="B2:C2"/>
  </mergeCells>
  <conditionalFormatting sqref="C21">
    <cfRule type="cellIs" dxfId="1" priority="1" stopIfTrue="1" operator="lessThan">
      <formula>$C$19</formula>
    </cfRule>
  </conditionalFormatting>
  <conditionalFormatting sqref="C24">
    <cfRule type="cellIs" dxfId="0" priority="2" stopIfTrue="1" operator="lessThan">
      <formula>$D$24</formula>
    </cfRule>
  </conditionalFormatting>
  <pageMargins left="0.75" right="0.75" top="1" bottom="1" header="0.5" footer="0.5"/>
  <pageSetup orientation="portrait" horizontalDpi="300" verticalDpi="300" r:id="rId1"/>
  <headerFooter alignWithMargins="0">
    <oddFooter>&amp;L&amp;G&amp;C&amp;"Verdana,Regular"&amp;6    2105 1st Ave S, Minneapolis, MN 55404
Toll Free: 1-800-946-3640  Phone: 612-870-3461  Fax: 612-813-5612
info@windustry.org www.windustry.org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D6" sqref="D6"/>
    </sheetView>
  </sheetViews>
  <sheetFormatPr baseColWidth="10" defaultColWidth="10.625" defaultRowHeight="15.75" x14ac:dyDescent="0.25"/>
  <cols>
    <col min="1" max="1" width="6.125" bestFit="1" customWidth="1"/>
    <col min="2" max="2" width="33.625" bestFit="1" customWidth="1"/>
    <col min="3" max="3" width="33.5" bestFit="1" customWidth="1"/>
    <col min="4" max="7" width="33.875" customWidth="1"/>
  </cols>
  <sheetData>
    <row r="1" spans="1:7" ht="26.25" x14ac:dyDescent="0.4">
      <c r="A1" s="363" t="s">
        <v>0</v>
      </c>
      <c r="B1" s="364"/>
      <c r="C1" s="364"/>
      <c r="D1" s="364"/>
      <c r="E1" s="364"/>
    </row>
    <row r="3" spans="1:7" ht="16.5" thickBot="1" x14ac:dyDescent="0.3"/>
    <row r="4" spans="1:7" x14ac:dyDescent="0.25">
      <c r="A4" s="296"/>
      <c r="B4" s="297" t="s">
        <v>1</v>
      </c>
      <c r="C4" s="297" t="s">
        <v>2</v>
      </c>
      <c r="D4" s="297" t="s">
        <v>10</v>
      </c>
      <c r="E4" s="297" t="s">
        <v>5</v>
      </c>
      <c r="F4" s="297" t="s">
        <v>6</v>
      </c>
      <c r="G4" s="298" t="s">
        <v>15</v>
      </c>
    </row>
    <row r="5" spans="1:7" ht="16.5" thickBot="1" x14ac:dyDescent="0.3">
      <c r="A5" s="299" t="s">
        <v>3</v>
      </c>
      <c r="B5" s="300" t="s">
        <v>4</v>
      </c>
      <c r="C5" s="300" t="s">
        <v>4</v>
      </c>
      <c r="D5" s="300" t="s">
        <v>4</v>
      </c>
      <c r="E5" s="300" t="s">
        <v>4</v>
      </c>
      <c r="F5" s="300" t="s">
        <v>4</v>
      </c>
      <c r="G5" s="301" t="s">
        <v>4</v>
      </c>
    </row>
    <row r="6" spans="1:7" ht="173.25" x14ac:dyDescent="0.25">
      <c r="A6" s="289">
        <v>5</v>
      </c>
      <c r="B6" s="290" t="s">
        <v>177</v>
      </c>
      <c r="C6" s="290" t="s">
        <v>181</v>
      </c>
      <c r="D6" s="290" t="s">
        <v>186</v>
      </c>
      <c r="E6" s="290" t="s">
        <v>190</v>
      </c>
      <c r="F6" s="290" t="s">
        <v>197</v>
      </c>
      <c r="G6" s="291" t="s">
        <v>201</v>
      </c>
    </row>
    <row r="7" spans="1:7" ht="157.5" x14ac:dyDescent="0.25">
      <c r="A7" s="292">
        <v>4</v>
      </c>
      <c r="B7" s="288" t="s">
        <v>178</v>
      </c>
      <c r="C7" s="288" t="s">
        <v>182</v>
      </c>
      <c r="D7" s="288" t="s">
        <v>187</v>
      </c>
      <c r="E7" s="288" t="s">
        <v>191</v>
      </c>
      <c r="F7" s="288" t="s">
        <v>195</v>
      </c>
      <c r="G7" s="302" t="s">
        <v>205</v>
      </c>
    </row>
    <row r="8" spans="1:7" ht="126" x14ac:dyDescent="0.25">
      <c r="A8" s="292">
        <v>3</v>
      </c>
      <c r="B8" s="288" t="s">
        <v>179</v>
      </c>
      <c r="C8" s="288" t="s">
        <v>183</v>
      </c>
      <c r="D8" s="288" t="s">
        <v>188</v>
      </c>
      <c r="E8" s="288" t="s">
        <v>192</v>
      </c>
      <c r="F8" s="288" t="s">
        <v>196</v>
      </c>
      <c r="G8" s="302" t="s">
        <v>206</v>
      </c>
    </row>
    <row r="9" spans="1:7" ht="126" x14ac:dyDescent="0.25">
      <c r="A9" s="292">
        <v>2</v>
      </c>
      <c r="B9" s="288" t="s">
        <v>180</v>
      </c>
      <c r="C9" s="288" t="s">
        <v>184</v>
      </c>
      <c r="D9" s="288" t="s">
        <v>11</v>
      </c>
      <c r="E9" s="288" t="s">
        <v>193</v>
      </c>
      <c r="F9" s="288" t="s">
        <v>198</v>
      </c>
      <c r="G9" s="302" t="s">
        <v>204</v>
      </c>
    </row>
    <row r="10" spans="1:7" ht="126" x14ac:dyDescent="0.25">
      <c r="A10" s="292">
        <v>1</v>
      </c>
      <c r="B10" s="288" t="s">
        <v>7</v>
      </c>
      <c r="C10" s="288" t="s">
        <v>185</v>
      </c>
      <c r="D10" s="288" t="s">
        <v>12</v>
      </c>
      <c r="E10" s="288" t="s">
        <v>13</v>
      </c>
      <c r="F10" s="288" t="s">
        <v>199</v>
      </c>
      <c r="G10" s="302" t="s">
        <v>203</v>
      </c>
    </row>
    <row r="11" spans="1:7" ht="126.75" thickBot="1" x14ac:dyDescent="0.3">
      <c r="A11" s="293">
        <v>0</v>
      </c>
      <c r="B11" s="294" t="s">
        <v>8</v>
      </c>
      <c r="C11" s="294" t="s">
        <v>9</v>
      </c>
      <c r="D11" s="294" t="s">
        <v>189</v>
      </c>
      <c r="E11" s="294" t="s">
        <v>194</v>
      </c>
      <c r="F11" s="294" t="s">
        <v>200</v>
      </c>
      <c r="G11" s="295" t="s">
        <v>202</v>
      </c>
    </row>
  </sheetData>
  <sheetProtection algorithmName="SHA-512" hashValue="SsT4r5Sd/W2wL+ud3U/VJQcrE8lWRfUFnc5P3v1+Mw8W1iH7Te+UsQ5/sI9D4So9LGsecoE3rjgMaOWH8IeOmg==" saltValue="+4zqIa09/rd8SfAi8OCjHQ==" spinCount="100000" sheet="1" objects="1" scenarios="1"/>
  <mergeCells count="1">
    <mergeCell ref="A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
  <sheetViews>
    <sheetView workbookViewId="0">
      <selection activeCell="G15" sqref="G15"/>
    </sheetView>
  </sheetViews>
  <sheetFormatPr baseColWidth="10" defaultColWidth="10.625" defaultRowHeight="15.75" x14ac:dyDescent="0.25"/>
  <cols>
    <col min="1" max="1" width="19.5" bestFit="1" customWidth="1"/>
    <col min="2" max="7" width="19.625" customWidth="1"/>
    <col min="8" max="8" width="13" bestFit="1" customWidth="1"/>
    <col min="10" max="10" width="13" bestFit="1" customWidth="1"/>
  </cols>
  <sheetData>
    <row r="1" spans="1:10" ht="26.25" x14ac:dyDescent="0.4">
      <c r="A1" s="350" t="s">
        <v>207</v>
      </c>
      <c r="B1" s="351" t="s">
        <v>14</v>
      </c>
    </row>
    <row r="2" spans="1:10" ht="27" thickBot="1" x14ac:dyDescent="0.45">
      <c r="A2" s="1"/>
      <c r="B2" s="1"/>
    </row>
    <row r="3" spans="1:10" ht="31.5" x14ac:dyDescent="0.25">
      <c r="A3" s="308" t="s">
        <v>208</v>
      </c>
      <c r="B3" s="309" t="s">
        <v>1</v>
      </c>
      <c r="C3" s="309" t="s">
        <v>2</v>
      </c>
      <c r="D3" s="309" t="s">
        <v>10</v>
      </c>
      <c r="E3" s="309" t="s">
        <v>5</v>
      </c>
      <c r="F3" s="309" t="s">
        <v>6</v>
      </c>
      <c r="G3" s="303" t="s">
        <v>15</v>
      </c>
      <c r="H3" s="309" t="s">
        <v>212</v>
      </c>
      <c r="I3" s="309" t="s">
        <v>213</v>
      </c>
      <c r="J3" s="303" t="s">
        <v>214</v>
      </c>
    </row>
    <row r="4" spans="1:10" x14ac:dyDescent="0.25">
      <c r="A4" s="310" t="str">
        <f>'Project Summary'!C4</f>
        <v>PV  SWP</v>
      </c>
      <c r="B4" s="311">
        <f>Assumptions!J48</f>
        <v>5</v>
      </c>
      <c r="C4" s="311">
        <f>Assumptions!J49</f>
        <v>5</v>
      </c>
      <c r="D4" s="311">
        <f>Assumptions!J50</f>
        <v>5</v>
      </c>
      <c r="E4" s="311">
        <f>Assumptions!J51</f>
        <v>3</v>
      </c>
      <c r="F4" s="311">
        <f>Assumptions!J52</f>
        <v>4</v>
      </c>
      <c r="G4" s="312">
        <f>Assumptions!J53</f>
        <v>3</v>
      </c>
      <c r="H4" s="321">
        <f>'Project Summary'!C13</f>
        <v>78000</v>
      </c>
      <c r="I4" s="324">
        <f>IFERROR('Project Summary'!C28,0)</f>
        <v>4.0310478618460488E-2</v>
      </c>
      <c r="J4" s="327">
        <f>'Project Summary'!C29</f>
        <v>32761.301387497588</v>
      </c>
    </row>
    <row r="5" spans="1:10" x14ac:dyDescent="0.25">
      <c r="A5" s="313" t="s">
        <v>210</v>
      </c>
      <c r="B5" s="314">
        <v>3</v>
      </c>
      <c r="C5" s="314">
        <v>5</v>
      </c>
      <c r="D5" s="314">
        <v>4</v>
      </c>
      <c r="E5" s="314">
        <v>3</v>
      </c>
      <c r="F5" s="314">
        <v>4</v>
      </c>
      <c r="G5" s="315">
        <v>2</v>
      </c>
      <c r="H5" s="322">
        <v>350000</v>
      </c>
      <c r="I5" s="325">
        <v>7.6300000000000007E-2</v>
      </c>
      <c r="J5" s="328">
        <v>87145</v>
      </c>
    </row>
    <row r="6" spans="1:10" ht="16.5" thickBot="1" x14ac:dyDescent="0.3">
      <c r="A6" s="316" t="s">
        <v>211</v>
      </c>
      <c r="B6" s="317">
        <v>3</v>
      </c>
      <c r="C6" s="317">
        <v>3</v>
      </c>
      <c r="D6" s="317">
        <v>4</v>
      </c>
      <c r="E6" s="317">
        <v>2</v>
      </c>
      <c r="F6" s="317">
        <v>5</v>
      </c>
      <c r="G6" s="318">
        <v>1</v>
      </c>
      <c r="H6" s="323">
        <v>441000</v>
      </c>
      <c r="I6" s="326">
        <v>0.12540000000000001</v>
      </c>
      <c r="J6" s="329">
        <v>45621</v>
      </c>
    </row>
  </sheetData>
  <sheetProtection algorithmName="SHA-512" hashValue="XVjRxBgz6otQBWcMqKK5W/sBgCcpxKUd7Uoyf5RNL+oq7OICvrTBaO9IXHjuxi93qWuL66RZXk/kKRXzfwrJcA==" saltValue="0ptdteAgFdR9R82AehyoXQ==" spinCount="100000" sheet="1" objects="1" scenarios="1"/>
  <mergeCells count="1">
    <mergeCell ref="A1:B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4" sqref="E34"/>
    </sheetView>
  </sheetViews>
  <sheetFormatPr baseColWidth="10" defaultColWidth="10.625" defaultRowHeight="15.75" x14ac:dyDescent="0.25"/>
  <sheetData/>
  <sheetProtection algorithmName="SHA-512" hashValue="tnXkC+44cj78cjeWA5IEIjj29PkiucTyeY6nvy13Ixb+wi+Tc4J9IFbqxUZC39wmPfWFQD8tjrcz/BGFsnFHOQ==" saltValue="h65aaZ0VGVRWNFN9wOQ5Yg=="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4"/>
  <sheetViews>
    <sheetView zoomScale="90" zoomScaleNormal="90" workbookViewId="0">
      <selection activeCell="D8" sqref="D8"/>
    </sheetView>
  </sheetViews>
  <sheetFormatPr baseColWidth="10" defaultColWidth="9.125" defaultRowHeight="15" x14ac:dyDescent="0.2"/>
  <cols>
    <col min="1" max="1" width="57.125" style="2" customWidth="1"/>
    <col min="2" max="2" width="16.875" style="2" customWidth="1"/>
    <col min="3" max="3" width="16.625" style="2" customWidth="1"/>
    <col min="4" max="4" width="16.875" style="2" customWidth="1"/>
    <col min="5" max="7" width="16.625" style="2" customWidth="1"/>
    <col min="8" max="8" width="16.875" style="2" customWidth="1"/>
    <col min="9" max="12" width="16.625" style="2" customWidth="1"/>
    <col min="13" max="13" width="16.875" style="2" customWidth="1"/>
    <col min="14" max="17" width="16.625" style="2" customWidth="1"/>
    <col min="18" max="18" width="16.875" style="2" customWidth="1"/>
    <col min="19" max="21" width="16.625" style="2" customWidth="1"/>
    <col min="22" max="22" width="16.875" style="2" customWidth="1"/>
    <col min="23" max="27" width="11.5" style="2" bestFit="1" customWidth="1"/>
    <col min="28" max="16384" width="9.125" style="2"/>
  </cols>
  <sheetData>
    <row r="1" spans="1:30" x14ac:dyDescent="0.2">
      <c r="C1" s="349">
        <v>0.3</v>
      </c>
      <c r="D1" s="349">
        <f>C1*1.02</f>
        <v>0.30599999999999999</v>
      </c>
      <c r="E1" s="349">
        <f t="shared" ref="E1:J1" si="0">D1*1.02</f>
        <v>0.31212000000000001</v>
      </c>
      <c r="F1" s="349">
        <f t="shared" si="0"/>
        <v>0.31836239999999999</v>
      </c>
      <c r="G1" s="349">
        <f t="shared" si="0"/>
        <v>0.32472964799999998</v>
      </c>
      <c r="H1" s="349">
        <f t="shared" si="0"/>
        <v>0.33122424095999997</v>
      </c>
      <c r="I1" s="349">
        <f t="shared" si="0"/>
        <v>0.3378487257792</v>
      </c>
      <c r="J1" s="349">
        <f t="shared" si="0"/>
        <v>0.34460570029478399</v>
      </c>
    </row>
    <row r="2" spans="1:30" x14ac:dyDescent="0.2">
      <c r="I2" s="222"/>
    </row>
    <row r="3" spans="1:30" ht="32.25" customHeight="1" x14ac:dyDescent="0.4">
      <c r="A3" s="221" t="str">
        <f>CONCATENATE("                              ",Assumptions!C9," Pro Forma")</f>
        <v xml:space="preserve">                              PV  SWP Pro Forma</v>
      </c>
      <c r="B3" s="220"/>
      <c r="C3" s="220"/>
      <c r="D3" s="150"/>
      <c r="E3" s="150"/>
      <c r="F3" s="150"/>
      <c r="G3" s="150"/>
      <c r="H3" s="150"/>
      <c r="I3" s="150"/>
      <c r="J3" s="150"/>
      <c r="K3" s="150"/>
      <c r="L3" s="150"/>
    </row>
    <row r="4" spans="1:30" ht="10.5" hidden="1" customHeight="1" x14ac:dyDescent="0.25">
      <c r="A4" s="219"/>
      <c r="B4" s="219"/>
      <c r="C4" s="219"/>
      <c r="D4" s="219"/>
      <c r="E4" s="219"/>
      <c r="F4" s="219"/>
      <c r="G4" s="219"/>
      <c r="H4" s="219"/>
      <c r="I4" s="219"/>
      <c r="J4" s="219"/>
      <c r="K4" s="219"/>
      <c r="L4" s="219"/>
    </row>
    <row r="5" spans="1:30" x14ac:dyDescent="0.2">
      <c r="K5" s="168"/>
      <c r="L5" s="168"/>
      <c r="M5" s="218"/>
    </row>
    <row r="6" spans="1:30" s="96" customFormat="1" ht="15.75" customHeight="1" x14ac:dyDescent="0.25">
      <c r="A6" s="197" t="s">
        <v>62</v>
      </c>
      <c r="B6" s="217">
        <v>0</v>
      </c>
      <c r="C6" s="217">
        <v>1</v>
      </c>
      <c r="D6" s="217">
        <v>2</v>
      </c>
      <c r="E6" s="217">
        <v>3</v>
      </c>
      <c r="F6" s="217">
        <v>4</v>
      </c>
      <c r="G6" s="217">
        <v>5</v>
      </c>
      <c r="H6" s="217">
        <v>6</v>
      </c>
      <c r="I6" s="217">
        <v>7</v>
      </c>
      <c r="J6" s="217">
        <v>8</v>
      </c>
      <c r="K6" s="217">
        <v>9</v>
      </c>
      <c r="L6" s="217">
        <v>10</v>
      </c>
      <c r="M6" s="217">
        <v>11</v>
      </c>
      <c r="N6" s="217">
        <v>12</v>
      </c>
      <c r="O6" s="217">
        <v>13</v>
      </c>
      <c r="P6" s="217">
        <v>14</v>
      </c>
      <c r="Q6" s="217">
        <v>15</v>
      </c>
      <c r="R6" s="217">
        <v>16</v>
      </c>
      <c r="S6" s="217">
        <v>17</v>
      </c>
      <c r="T6" s="217">
        <v>18</v>
      </c>
      <c r="U6" s="217">
        <v>19</v>
      </c>
      <c r="V6" s="217">
        <v>20</v>
      </c>
      <c r="W6" s="96">
        <v>21</v>
      </c>
      <c r="X6" s="96">
        <v>22</v>
      </c>
      <c r="Y6" s="96">
        <v>23</v>
      </c>
      <c r="Z6" s="96">
        <v>24</v>
      </c>
      <c r="AA6" s="96">
        <v>25</v>
      </c>
    </row>
    <row r="7" spans="1:30" s="96" customFormat="1" ht="15.75" customHeight="1" x14ac:dyDescent="0.25">
      <c r="A7" s="197"/>
      <c r="B7" s="217"/>
      <c r="C7" s="217"/>
      <c r="D7" s="217"/>
      <c r="E7" s="217"/>
      <c r="F7" s="217"/>
      <c r="G7" s="217"/>
      <c r="H7" s="217"/>
      <c r="I7" s="217"/>
      <c r="J7" s="217"/>
      <c r="K7" s="217"/>
      <c r="L7" s="217"/>
      <c r="M7" s="217"/>
      <c r="N7" s="217"/>
      <c r="O7" s="217"/>
      <c r="P7" s="217"/>
      <c r="Q7" s="217"/>
      <c r="R7" s="217"/>
      <c r="S7" s="217"/>
      <c r="T7" s="217"/>
      <c r="U7" s="217"/>
      <c r="V7" s="217"/>
      <c r="W7" s="33"/>
      <c r="X7" s="33"/>
      <c r="Y7" s="33"/>
      <c r="Z7" s="33"/>
      <c r="AA7" s="33"/>
      <c r="AB7" s="33"/>
      <c r="AC7" s="33"/>
      <c r="AD7" s="33"/>
    </row>
    <row r="8" spans="1:30" s="96" customFormat="1" ht="15.75" customHeight="1" x14ac:dyDescent="0.25">
      <c r="A8" s="196" t="s">
        <v>141</v>
      </c>
      <c r="B8" s="217"/>
      <c r="C8" s="217"/>
      <c r="D8" s="217"/>
      <c r="E8" s="217"/>
      <c r="F8" s="217"/>
      <c r="G8" s="217"/>
      <c r="H8" s="217"/>
      <c r="I8" s="217"/>
      <c r="J8" s="217"/>
      <c r="K8" s="217"/>
      <c r="L8" s="217"/>
      <c r="M8" s="217"/>
      <c r="N8" s="217"/>
      <c r="O8" s="217"/>
      <c r="P8" s="217"/>
      <c r="Q8" s="217"/>
      <c r="R8" s="217"/>
      <c r="S8" s="217"/>
      <c r="T8" s="217"/>
      <c r="U8" s="217"/>
      <c r="V8" s="217"/>
      <c r="W8" s="33"/>
      <c r="X8" s="33"/>
      <c r="Y8" s="33"/>
      <c r="Z8" s="33"/>
      <c r="AA8" s="33"/>
      <c r="AB8" s="33"/>
      <c r="AC8" s="33"/>
      <c r="AD8" s="33"/>
    </row>
    <row r="9" spans="1:30" s="96" customFormat="1" ht="15.75" customHeight="1" x14ac:dyDescent="0.25">
      <c r="A9" s="171" t="s">
        <v>140</v>
      </c>
      <c r="B9" s="175">
        <f>-(Assumptions!C38+Assumptions!C39)</f>
        <v>-78000</v>
      </c>
      <c r="C9" s="187"/>
      <c r="D9" s="187"/>
      <c r="E9" s="187"/>
      <c r="F9" s="187"/>
      <c r="G9" s="187"/>
      <c r="H9" s="187"/>
      <c r="I9" s="187"/>
      <c r="J9" s="187"/>
      <c r="K9" s="187"/>
      <c r="L9" s="187"/>
      <c r="M9" s="187"/>
      <c r="N9" s="187"/>
      <c r="O9" s="187"/>
      <c r="P9" s="187"/>
      <c r="Q9" s="187"/>
      <c r="R9" s="187"/>
      <c r="S9" s="187"/>
      <c r="T9" s="187"/>
      <c r="U9" s="187"/>
      <c r="V9" s="187"/>
      <c r="W9" s="177"/>
      <c r="X9" s="33"/>
      <c r="Y9" s="33"/>
      <c r="Z9" s="33"/>
      <c r="AA9" s="33"/>
      <c r="AB9" s="33"/>
      <c r="AC9" s="33"/>
      <c r="AD9" s="33"/>
    </row>
    <row r="10" spans="1:30" s="96" customFormat="1" ht="15.75" customHeight="1" x14ac:dyDescent="0.25">
      <c r="A10" s="33"/>
      <c r="B10" s="187"/>
      <c r="C10" s="187"/>
      <c r="D10" s="187"/>
      <c r="E10" s="187"/>
      <c r="F10" s="187"/>
      <c r="G10" s="187"/>
      <c r="H10" s="187"/>
      <c r="I10" s="187"/>
      <c r="J10" s="187"/>
      <c r="K10" s="187"/>
      <c r="L10" s="187"/>
      <c r="M10" s="187"/>
      <c r="N10" s="187"/>
      <c r="O10" s="187"/>
      <c r="P10" s="187"/>
      <c r="Q10" s="187"/>
      <c r="R10" s="187"/>
      <c r="S10" s="187"/>
      <c r="T10" s="187"/>
      <c r="U10" s="187"/>
      <c r="V10" s="187"/>
      <c r="W10" s="177"/>
      <c r="X10" s="33"/>
      <c r="Y10" s="33"/>
      <c r="Z10" s="33"/>
      <c r="AA10" s="33"/>
      <c r="AB10" s="33"/>
      <c r="AC10" s="33"/>
      <c r="AD10" s="33"/>
    </row>
    <row r="11" spans="1:30" ht="15.75" customHeight="1" x14ac:dyDescent="0.25">
      <c r="A11" s="196" t="s">
        <v>139</v>
      </c>
      <c r="B11" s="209"/>
      <c r="C11" s="216"/>
      <c r="D11" s="216"/>
      <c r="E11" s="216"/>
      <c r="F11" s="216"/>
      <c r="G11" s="216"/>
      <c r="H11" s="216"/>
      <c r="I11" s="216"/>
      <c r="J11" s="216"/>
      <c r="K11" s="216"/>
      <c r="L11" s="216"/>
      <c r="M11" s="215"/>
      <c r="N11" s="187"/>
      <c r="O11" s="187"/>
      <c r="P11" s="187"/>
      <c r="Q11" s="187"/>
      <c r="R11" s="187"/>
      <c r="S11" s="187"/>
      <c r="T11" s="187"/>
      <c r="U11" s="187"/>
      <c r="V11" s="187"/>
      <c r="W11" s="175"/>
      <c r="X11" s="174"/>
      <c r="Y11" s="174"/>
      <c r="Z11" s="174"/>
      <c r="AA11" s="174"/>
      <c r="AB11" s="174"/>
      <c r="AC11" s="174"/>
      <c r="AD11" s="174"/>
    </row>
    <row r="12" spans="1:30" ht="15.75" customHeight="1" x14ac:dyDescent="0.25">
      <c r="A12" s="193" t="s">
        <v>221</v>
      </c>
      <c r="B12" s="177"/>
      <c r="C12" s="192">
        <f>(Assumptions!$C$14*Assumptions!$C$15)+(Assumptions!$C$14*Assumptions!$C$15*Assumptions!$D$15*(C6-1))</f>
        <v>33818.400000000001</v>
      </c>
      <c r="D12" s="192">
        <f>(Assumptions!$C$14*Assumptions!$C$15)+(Assumptions!$C$14*Assumptions!$C$15*Assumptions!$D$15*(D6-1))</f>
        <v>33142.031999999999</v>
      </c>
      <c r="E12" s="192">
        <f>(Assumptions!$C$14*Assumptions!$C$15)+(Assumptions!$C$14*Assumptions!$C$15*Assumptions!$D$15*(E6-1))</f>
        <v>32465.664000000001</v>
      </c>
      <c r="F12" s="192">
        <f>(Assumptions!$C$14*Assumptions!$C$15)+(Assumptions!$C$14*Assumptions!$C$15*Assumptions!$D$15*(F6-1))</f>
        <v>31789.296000000002</v>
      </c>
      <c r="G12" s="192">
        <f>(Assumptions!$C$14*Assumptions!$C$15)+(Assumptions!$C$14*Assumptions!$C$15*Assumptions!$D$15*(G6-1))</f>
        <v>31112.928</v>
      </c>
      <c r="H12" s="192">
        <f>(Assumptions!$C$14*Assumptions!$C$15)+(Assumptions!$C$14*Assumptions!$C$15*Assumptions!$D$15*(H6-1))</f>
        <v>30436.560000000001</v>
      </c>
      <c r="I12" s="192">
        <f>(Assumptions!$C$14*Assumptions!$C$15)+(Assumptions!$C$14*Assumptions!$C$15*Assumptions!$D$15*(I6-1))</f>
        <v>29760.192000000003</v>
      </c>
      <c r="J12" s="192">
        <f>(Assumptions!$C$14*Assumptions!$C$15)+(Assumptions!$C$14*Assumptions!$C$15*Assumptions!$D$15*(J6-1))</f>
        <v>29083.824000000001</v>
      </c>
      <c r="K12" s="192">
        <f>(Assumptions!$C$14*Assumptions!$C$15)+(Assumptions!$C$14*Assumptions!$C$15*Assumptions!$D$15*(K6-1))</f>
        <v>28407.456000000002</v>
      </c>
      <c r="L12" s="192">
        <f>(Assumptions!$C$14*Assumptions!$C$15)+(Assumptions!$C$14*Assumptions!$C$15*Assumptions!$D$15*(L6-1))</f>
        <v>27731.088</v>
      </c>
      <c r="M12" s="192">
        <f>(Assumptions!$C$14*Assumptions!$C$15)+(Assumptions!$C$14*Assumptions!$C$15*Assumptions!$D$15*(M6-1))</f>
        <v>27054.720000000001</v>
      </c>
      <c r="N12" s="192">
        <f>(Assumptions!$C$14*Assumptions!$C$15)+(Assumptions!$C$14*Assumptions!$C$15*Assumptions!$D$15*(N6-1))</f>
        <v>26378.351999999999</v>
      </c>
      <c r="O12" s="192">
        <f>(Assumptions!$C$14*Assumptions!$C$15)+(Assumptions!$C$14*Assumptions!$C$15*Assumptions!$D$15*(O6-1))</f>
        <v>25701.984</v>
      </c>
      <c r="P12" s="192">
        <f>(Assumptions!$C$14*Assumptions!$C$15)+(Assumptions!$C$14*Assumptions!$C$15*Assumptions!$D$15*(P6-1))</f>
        <v>25025.616000000002</v>
      </c>
      <c r="Q12" s="192">
        <f>(Assumptions!$C$14*Assumptions!$C$15)+(Assumptions!$C$14*Assumptions!$C$15*Assumptions!$D$15*(Q6-1))</f>
        <v>24349.248</v>
      </c>
      <c r="R12" s="192">
        <f>(Assumptions!$C$14*Assumptions!$C$15)+(Assumptions!$C$14*Assumptions!$C$15*Assumptions!$D$15*(R6-1))</f>
        <v>23672.880000000001</v>
      </c>
      <c r="S12" s="192">
        <f>(Assumptions!$C$14*Assumptions!$C$15)+(Assumptions!$C$14*Assumptions!$C$15*Assumptions!$D$15*(S6-1))</f>
        <v>22996.512000000002</v>
      </c>
      <c r="T12" s="192">
        <f>(Assumptions!$C$14*Assumptions!$C$15)+(Assumptions!$C$14*Assumptions!$C$15*Assumptions!$D$15*(T6-1))</f>
        <v>22320.144</v>
      </c>
      <c r="U12" s="192">
        <f>(Assumptions!$C$14*Assumptions!$C$15)+(Assumptions!$C$14*Assumptions!$C$15*Assumptions!$D$15*(U6-1))</f>
        <v>21643.775999999998</v>
      </c>
      <c r="V12" s="192">
        <f>(Assumptions!$C$14*Assumptions!$C$15)+(Assumptions!$C$14*Assumptions!$C$15*Assumptions!$D$15*(V6-1))</f>
        <v>20967.408000000003</v>
      </c>
      <c r="W12" s="192">
        <f>IF(Assumptions!$F$15&gt;20,(Assumptions!$C$14*Assumptions!$C$15)+(Assumptions!$C$14*Assumptions!$C$15*Assumptions!$D$15*(W6-1)),0)</f>
        <v>0</v>
      </c>
      <c r="X12" s="192">
        <f>IF(Assumptions!$F$15&gt;21,(Assumptions!$C$14*Assumptions!$C$15)+(Assumptions!$C$14*Assumptions!$C$15*Assumptions!$D$15*(X6-1)),0)</f>
        <v>0</v>
      </c>
      <c r="Y12" s="192">
        <f>IF(Assumptions!$F$15&gt;22,(Assumptions!$C$14*Assumptions!$C$15)+(Assumptions!$C$14*Assumptions!$C$15*Assumptions!$D$15*(Y6-1)),0)</f>
        <v>0</v>
      </c>
      <c r="Z12" s="192">
        <f>IF(Assumptions!$F$15&gt;23,(Assumptions!$C$14*Assumptions!$C$15)+(Assumptions!$C$14*Assumptions!$C$15*Assumptions!$D$15*(Z6-1)),0)</f>
        <v>0</v>
      </c>
      <c r="AA12" s="192">
        <f>IF(Assumptions!$F$15&gt;24,(Assumptions!$C$14*Assumptions!$C$15)+(Assumptions!$C$14*Assumptions!$C$15*Assumptions!$D$15*(AA6-1)),0)</f>
        <v>0</v>
      </c>
      <c r="AB12" s="174"/>
      <c r="AC12" s="174"/>
      <c r="AD12" s="174"/>
    </row>
    <row r="13" spans="1:30" ht="15.75" customHeight="1" thickBot="1" x14ac:dyDescent="0.3">
      <c r="A13" s="193" t="s">
        <v>220</v>
      </c>
      <c r="B13" s="177"/>
      <c r="C13" s="192">
        <f>MIN(((Assumptions!$C$14*Assumptions!$C$15)*Assumptions!$C$16),C12)</f>
        <v>13527.36</v>
      </c>
      <c r="D13" s="192">
        <f>MIN(((Assumptions!$C$14*Assumptions!$C$15)*Assumptions!$C$16),D12)</f>
        <v>13527.36</v>
      </c>
      <c r="E13" s="192">
        <f>MIN(((Assumptions!$C$14*Assumptions!$C$15)*Assumptions!$C$16),E12)</f>
        <v>13527.36</v>
      </c>
      <c r="F13" s="192">
        <f>MIN(((Assumptions!$C$14*Assumptions!$C$15)*Assumptions!$C$16),F12)</f>
        <v>13527.36</v>
      </c>
      <c r="G13" s="192">
        <f>MIN(((Assumptions!$C$14*Assumptions!$C$15)*Assumptions!$C$16),G12)</f>
        <v>13527.36</v>
      </c>
      <c r="H13" s="192">
        <f>MIN(((Assumptions!$C$14*Assumptions!$C$15)*Assumptions!$C$16),H12)</f>
        <v>13527.36</v>
      </c>
      <c r="I13" s="192">
        <f>MIN(((Assumptions!$C$14*Assumptions!$C$15)*Assumptions!$C$16),I12)</f>
        <v>13527.36</v>
      </c>
      <c r="J13" s="192">
        <f>MIN(((Assumptions!$C$14*Assumptions!$C$15)*Assumptions!$C$16),J12)</f>
        <v>13527.36</v>
      </c>
      <c r="K13" s="192">
        <f>MIN(((Assumptions!$C$14*Assumptions!$C$15)*Assumptions!$C$16),K12)</f>
        <v>13527.36</v>
      </c>
      <c r="L13" s="192">
        <f>MIN(((Assumptions!$C$14*Assumptions!$C$15)*Assumptions!$C$16),L12)</f>
        <v>13527.36</v>
      </c>
      <c r="M13" s="192">
        <f>MIN(((Assumptions!$C$14*Assumptions!$C$15)*Assumptions!$C$16),M12)</f>
        <v>13527.36</v>
      </c>
      <c r="N13" s="192">
        <f>MIN(((Assumptions!$C$14*Assumptions!$C$15)*Assumptions!$C$16),N12)</f>
        <v>13527.36</v>
      </c>
      <c r="O13" s="192">
        <f>MIN(((Assumptions!$C$14*Assumptions!$C$15)*Assumptions!$C$16),O12)</f>
        <v>13527.36</v>
      </c>
      <c r="P13" s="192">
        <f>MIN(((Assumptions!$C$14*Assumptions!$C$15)*Assumptions!$C$16),P12)</f>
        <v>13527.36</v>
      </c>
      <c r="Q13" s="192">
        <f>MIN(((Assumptions!$C$14*Assumptions!$C$15)*Assumptions!$C$16),Q12)</f>
        <v>13527.36</v>
      </c>
      <c r="R13" s="192">
        <f>MIN(((Assumptions!$C$14*Assumptions!$C$15)*Assumptions!$C$16),R12)</f>
        <v>13527.36</v>
      </c>
      <c r="S13" s="192">
        <f>MIN(((Assumptions!$C$14*Assumptions!$C$15)*Assumptions!$C$16),S12)</f>
        <v>13527.36</v>
      </c>
      <c r="T13" s="192">
        <f>MIN(((Assumptions!$C$14*Assumptions!$C$15)*Assumptions!$C$16),T12)</f>
        <v>13527.36</v>
      </c>
      <c r="U13" s="192">
        <f>MIN(((Assumptions!$C$14*Assumptions!$C$15)*Assumptions!$C$16),U12)</f>
        <v>13527.36</v>
      </c>
      <c r="V13" s="192">
        <f>MIN(((Assumptions!$C$14*Assumptions!$C$15)*Assumptions!$C$16),V12)</f>
        <v>13527.36</v>
      </c>
      <c r="W13" s="192">
        <f>IF(Assumptions!$F$15&gt;20,MIN(((Assumptions!$C$14*Assumptions!$C$15)*Assumptions!$C$16),W12),0)</f>
        <v>0</v>
      </c>
      <c r="X13" s="192">
        <f>IF(Assumptions!$F$15&gt;20,MIN(((Assumptions!$C$14*Assumptions!$C$15)*Assumptions!$C$16),X12),0)</f>
        <v>0</v>
      </c>
      <c r="Y13" s="192">
        <f>IF(Assumptions!$F$15&gt;20,MIN(((Assumptions!$C$14*Assumptions!$C$15)*Assumptions!$C$16),Y12),0)</f>
        <v>0</v>
      </c>
      <c r="Z13" s="192">
        <f>IF(Assumptions!$F$15&gt;20,MIN(((Assumptions!$C$14*Assumptions!$C$15)*Assumptions!$C$16),Z12),0)</f>
        <v>0</v>
      </c>
      <c r="AA13" s="192">
        <f>IF(Assumptions!$F$15&gt;20,MIN(((Assumptions!$C$14*Assumptions!$C$15)*Assumptions!$C$16),AA12),0)</f>
        <v>0</v>
      </c>
      <c r="AB13" s="174"/>
      <c r="AC13" s="174"/>
      <c r="AD13" s="174"/>
    </row>
    <row r="14" spans="1:30" ht="15.75" customHeight="1" x14ac:dyDescent="0.25">
      <c r="A14" s="346" t="str">
        <f>Assumptions!B24</f>
        <v>Power Purchase Agreement Rate / Market RES Rate (€/kWh)</v>
      </c>
      <c r="B14" s="262"/>
      <c r="C14" s="214">
        <f>IF(AND(C$6&gt;=Assumptions!$E$24,C$6&lt;=Assumptions!$F$24),Assumptions!$C$24*(1+Assumptions!$D$24)^(C$6-$C$6),0)</f>
        <v>0</v>
      </c>
      <c r="D14" s="214">
        <f>IF(AND(D$6&gt;=Assumptions!$E$24,D$6&lt;=Assumptions!$F$24),Assumptions!$C$24*(1+Assumptions!$D$24)^(D$6-$C$6),0)</f>
        <v>0</v>
      </c>
      <c r="E14" s="214">
        <f>IF(AND(E$6&gt;=Assumptions!$E$24,E$6&lt;=Assumptions!$F$24),Assumptions!$C$24*(1+Assumptions!$D$24)^(E$6-$C$6),0)</f>
        <v>0</v>
      </c>
      <c r="F14" s="214">
        <f>IF(AND(F$6&gt;=Assumptions!$E$24,F$6&lt;=Assumptions!$F$24),Assumptions!$C$24*(1+Assumptions!$D$24)^(F$6-$C$6),0)</f>
        <v>0</v>
      </c>
      <c r="G14" s="214">
        <f>IF(AND(G$6&gt;=Assumptions!$E$24,G$6&lt;=Assumptions!$F$24),Assumptions!$C$24*(1+Assumptions!$D$24)^(G$6-$C$6),0)</f>
        <v>0</v>
      </c>
      <c r="H14" s="214">
        <f>IF(AND(H$6&gt;=Assumptions!$E$24,H$6&lt;=Assumptions!$F$24),Assumptions!$C$24*(1+Assumptions!$D$24)^(H$6-$C$6),0)</f>
        <v>0</v>
      </c>
      <c r="I14" s="214">
        <f>IF(AND(I$6&gt;=Assumptions!$E$24,I$6&lt;=Assumptions!$F$24),Assumptions!$C$24*(1+Assumptions!$D$24)^(I$6-$C$6),0)</f>
        <v>0</v>
      </c>
      <c r="J14" s="214">
        <f>IF(AND(J$6&gt;=Assumptions!$E$24,J$6&lt;=Assumptions!$F$24),Assumptions!$C$24*(1+Assumptions!$D$24)^(J$6-$C$6),0)</f>
        <v>0</v>
      </c>
      <c r="K14" s="214">
        <f>IF(AND(K$6&gt;=Assumptions!$E$24,K$6&lt;=Assumptions!$F$24),Assumptions!$C$24*(1+Assumptions!$D$24)^(K$6-$C$6),0)</f>
        <v>0</v>
      </c>
      <c r="L14" s="214">
        <f>IF(AND(L$6&gt;=Assumptions!$E$24,L$6&lt;=Assumptions!$F$24),Assumptions!$C$24*(1+Assumptions!$D$24)^(L$6-$C$6),0)</f>
        <v>0</v>
      </c>
      <c r="M14" s="214">
        <f>IF(AND(M$6&gt;=Assumptions!$E$24,M$6&lt;=Assumptions!$F$24),Assumptions!$C$24*(1+Assumptions!$D$24)^(M$6-$C$6),0)</f>
        <v>0</v>
      </c>
      <c r="N14" s="214">
        <f>IF(AND(N$6&gt;=Assumptions!$E$24,N$6&lt;=Assumptions!$F$24),Assumptions!$C$24*(1+Assumptions!$D$24)^(N$6-$C$6),0)</f>
        <v>0</v>
      </c>
      <c r="O14" s="214">
        <f>IF(AND(O$6&gt;=Assumptions!$E$24,O$6&lt;=Assumptions!$F$24),Assumptions!$C$24*(1+Assumptions!$D$24)^(O$6-$C$6),0)</f>
        <v>0</v>
      </c>
      <c r="P14" s="214">
        <f>IF(AND(P$6&gt;=Assumptions!$E$24,P$6&lt;=Assumptions!$F$24),Assumptions!$C$24*(1+Assumptions!$D$24)^(P$6-$C$6),0)</f>
        <v>0</v>
      </c>
      <c r="Q14" s="214">
        <f>IF(AND(Q$6&gt;=Assumptions!$E$24,Q$6&lt;=Assumptions!$F$24),Assumptions!$C$24*(1+Assumptions!$D$24)^(Q$6-$C$6),0)</f>
        <v>0</v>
      </c>
      <c r="R14" s="214">
        <f>IF(AND(R$6&gt;=Assumptions!$E$24,R$6&lt;=Assumptions!$F$24),Assumptions!$C$24*(1+Assumptions!$D$24)^(R$6-$C$6),0)</f>
        <v>0</v>
      </c>
      <c r="S14" s="214">
        <f>IF(AND(S$6&gt;=Assumptions!$E$24,S$6&lt;=Assumptions!$F$24),Assumptions!$C$24*(1+Assumptions!$D$24)^(S$6-$C$6),0)</f>
        <v>0</v>
      </c>
      <c r="T14" s="214">
        <f>IF(AND(T$6&gt;=Assumptions!$E$24,T$6&lt;=Assumptions!$F$24),Assumptions!$C$24*(1+Assumptions!$D$24)^(T$6-$C$6),0)</f>
        <v>0</v>
      </c>
      <c r="U14" s="214">
        <f>IF(AND(U$6&gt;=Assumptions!$E$24,U$6&lt;=Assumptions!$F$24),Assumptions!$C$24*(1+Assumptions!$D$24)^(U$6-$C$6),0)</f>
        <v>0</v>
      </c>
      <c r="V14" s="214">
        <f>IF(AND(V$6&gt;=Assumptions!$E$24,V$6&lt;=Assumptions!$F$24),Assumptions!$C$24*(1+Assumptions!$D$24)^(V$6-$C$6),0)</f>
        <v>0</v>
      </c>
      <c r="W14" s="214">
        <f>IF(AND(W$6&gt;=Assumptions!$E$24,W$6&lt;=Assumptions!$F$24),Assumptions!$C$24*(1+Assumptions!$D$24)^(W$6-$C$6),0)</f>
        <v>0</v>
      </c>
      <c r="X14" s="214">
        <f>IF(AND(X$6&gt;=Assumptions!$E$24,X$6&lt;=Assumptions!$F$24),Assumptions!$C$24*(1+Assumptions!$D$24)^(X$6-$C$6),0)</f>
        <v>0</v>
      </c>
      <c r="Y14" s="214">
        <f>IF(AND(Y$6&gt;=Assumptions!$E$24,Y$6&lt;=Assumptions!$F$24),Assumptions!$C$24*(1+Assumptions!$D$24)^(Y$6-$C$6),0)</f>
        <v>0</v>
      </c>
      <c r="Z14" s="214">
        <f>IF(AND(Z$6&gt;=Assumptions!$E$24,Z$6&lt;=Assumptions!$F$24),Assumptions!$C$24*(1+Assumptions!$D$24)^(Z$6-$C$6),0)</f>
        <v>0</v>
      </c>
      <c r="AA14" s="214">
        <f>IF(AND(AA$6&gt;=Assumptions!$E$24,AA$6&lt;=Assumptions!$F$24),Assumptions!$C$24*(1+Assumptions!$D$24)^(AA$6-$C$6),0)</f>
        <v>0</v>
      </c>
      <c r="AB14" s="174"/>
      <c r="AC14" s="174"/>
      <c r="AD14" s="174"/>
    </row>
    <row r="15" spans="1:30" ht="15.75" customHeight="1" x14ac:dyDescent="0.25">
      <c r="A15" s="193" t="s">
        <v>222</v>
      </c>
      <c r="B15" s="177"/>
      <c r="C15" s="192">
        <f>C14*(C12-C13)</f>
        <v>0</v>
      </c>
      <c r="D15" s="192">
        <f t="shared" ref="D15:V15" si="1">D14*(D12-D13)</f>
        <v>0</v>
      </c>
      <c r="E15" s="192">
        <f t="shared" si="1"/>
        <v>0</v>
      </c>
      <c r="F15" s="192">
        <f t="shared" si="1"/>
        <v>0</v>
      </c>
      <c r="G15" s="192">
        <f t="shared" si="1"/>
        <v>0</v>
      </c>
      <c r="H15" s="192">
        <f t="shared" si="1"/>
        <v>0</v>
      </c>
      <c r="I15" s="192">
        <f t="shared" si="1"/>
        <v>0</v>
      </c>
      <c r="J15" s="192">
        <f t="shared" si="1"/>
        <v>0</v>
      </c>
      <c r="K15" s="192">
        <f t="shared" si="1"/>
        <v>0</v>
      </c>
      <c r="L15" s="192">
        <f t="shared" si="1"/>
        <v>0</v>
      </c>
      <c r="M15" s="192">
        <f t="shared" si="1"/>
        <v>0</v>
      </c>
      <c r="N15" s="192">
        <f t="shared" si="1"/>
        <v>0</v>
      </c>
      <c r="O15" s="192">
        <f t="shared" si="1"/>
        <v>0</v>
      </c>
      <c r="P15" s="192">
        <f t="shared" si="1"/>
        <v>0</v>
      </c>
      <c r="Q15" s="192">
        <f t="shared" si="1"/>
        <v>0</v>
      </c>
      <c r="R15" s="192">
        <f t="shared" si="1"/>
        <v>0</v>
      </c>
      <c r="S15" s="192">
        <f t="shared" si="1"/>
        <v>0</v>
      </c>
      <c r="T15" s="192">
        <f t="shared" si="1"/>
        <v>0</v>
      </c>
      <c r="U15" s="192">
        <f t="shared" si="1"/>
        <v>0</v>
      </c>
      <c r="V15" s="192">
        <f t="shared" si="1"/>
        <v>0</v>
      </c>
      <c r="W15" s="192">
        <f t="shared" ref="W15" si="2">W14*(W12-W13)</f>
        <v>0</v>
      </c>
      <c r="X15" s="192">
        <f t="shared" ref="X15" si="3">X14*(X12-X13)</f>
        <v>0</v>
      </c>
      <c r="Y15" s="192">
        <f t="shared" ref="Y15" si="4">Y14*(Y12-Y13)</f>
        <v>0</v>
      </c>
      <c r="Z15" s="192">
        <f t="shared" ref="Z15" si="5">Z14*(Z12-Z13)</f>
        <v>0</v>
      </c>
      <c r="AA15" s="192">
        <f t="shared" ref="AA15" si="6">AA14*(AA12-AA13)</f>
        <v>0</v>
      </c>
      <c r="AB15" s="174"/>
      <c r="AC15" s="174"/>
      <c r="AD15" s="174"/>
    </row>
    <row r="16" spans="1:30" ht="15.75" customHeight="1" x14ac:dyDescent="0.25">
      <c r="A16" s="193" t="s">
        <v>228</v>
      </c>
      <c r="B16" s="177"/>
      <c r="C16" s="214">
        <f>IF(AND(C$6&gt;=Assumptions!$E$25,C$6&lt;=Assumptions!$F$25),Assumptions!$C$25*(1+Assumptions!$D$25)^(C$6-$C$6),0)</f>
        <v>0</v>
      </c>
      <c r="D16" s="214">
        <f>IF(AND(D$6&gt;=Assumptions!$E$25,D$6&lt;=Assumptions!$F$25),Assumptions!$C$25*(1+Assumptions!$D$25)^(D$6-$C$6),0)</f>
        <v>0</v>
      </c>
      <c r="E16" s="214">
        <f>IF(AND(E$6&gt;=Assumptions!$E$25,E$6&lt;=Assumptions!$F$25),Assumptions!$C$25*(1+Assumptions!$D$25)^(E$6-$C$6),0)</f>
        <v>0</v>
      </c>
      <c r="F16" s="214">
        <f>IF(AND(F$6&gt;=Assumptions!$E$25,F$6&lt;=Assumptions!$F$25),Assumptions!$C$25*(1+Assumptions!$D$25)^(F$6-$C$6),0)</f>
        <v>0</v>
      </c>
      <c r="G16" s="214">
        <f>IF(AND(G$6&gt;=Assumptions!$E$25,G$6&lt;=Assumptions!$F$25),Assumptions!$C$25*(1+Assumptions!$D$25)^(G$6-$C$6),0)</f>
        <v>0</v>
      </c>
      <c r="H16" s="214">
        <f>IF(AND(H$6&gt;=Assumptions!$E$25,H$6&lt;=Assumptions!$F$25),Assumptions!$C$25*(1+Assumptions!$D$25)^(H$6-$C$6),0)</f>
        <v>0</v>
      </c>
      <c r="I16" s="214">
        <f>IF(AND(I$6&gt;=Assumptions!$E$25,I$6&lt;=Assumptions!$F$25),Assumptions!$C$25*(1+Assumptions!$D$25)^(I$6-$C$6),0)</f>
        <v>0</v>
      </c>
      <c r="J16" s="214">
        <f>IF(AND(J$6&gt;=Assumptions!$E$25,J$6&lt;=Assumptions!$F$25),Assumptions!$C$25*(1+Assumptions!$D$25)^(J$6-$C$6),0)</f>
        <v>0</v>
      </c>
      <c r="K16" s="214">
        <f>IF(AND(K$6&gt;=Assumptions!$E$25,K$6&lt;=Assumptions!$F$25),Assumptions!$C$25*(1+Assumptions!$D$25)^(K$6-$C$6),0)</f>
        <v>0</v>
      </c>
      <c r="L16" s="214">
        <f>IF(AND(L$6&gt;=Assumptions!$E$25,L$6&lt;=Assumptions!$F$25),Assumptions!$C$25*(1+Assumptions!$D$25)^(L$6-$C$6),0)</f>
        <v>0</v>
      </c>
      <c r="M16" s="214">
        <f>IF(AND(M$6&gt;=Assumptions!$E$25,M$6&lt;=Assumptions!$F$25),Assumptions!$C$25*(1+Assumptions!$D$25)^(M$6-$C$6),0)</f>
        <v>0</v>
      </c>
      <c r="N16" s="214">
        <f>IF(AND(N$6&gt;=Assumptions!$E$25,N$6&lt;=Assumptions!$F$25),Assumptions!$C$25*(1+Assumptions!$D$25)^(N$6-$C$6),0)</f>
        <v>0</v>
      </c>
      <c r="O16" s="214">
        <f>IF(AND(O$6&gt;=Assumptions!$E$25,O$6&lt;=Assumptions!$F$25),Assumptions!$C$25*(1+Assumptions!$D$25)^(O$6-$C$6),0)</f>
        <v>0</v>
      </c>
      <c r="P16" s="214">
        <f>IF(AND(P$6&gt;=Assumptions!$E$25,P$6&lt;=Assumptions!$F$25),Assumptions!$C$25*(1+Assumptions!$D$25)^(P$6-$C$6),0)</f>
        <v>0</v>
      </c>
      <c r="Q16" s="214">
        <f>IF(AND(Q$6&gt;=Assumptions!$E$25,Q$6&lt;=Assumptions!$F$25),Assumptions!$C$25*(1+Assumptions!$D$25)^(Q$6-$C$6),0)</f>
        <v>0</v>
      </c>
      <c r="R16" s="214">
        <f>IF(AND(R$6&gt;=Assumptions!$E$25,R$6&lt;=Assumptions!$F$25),Assumptions!$C$25*(1+Assumptions!$D$25)^(R$6-$C$6),0)</f>
        <v>0</v>
      </c>
      <c r="S16" s="214">
        <f>IF(AND(S$6&gt;=Assumptions!$E$25,S$6&lt;=Assumptions!$F$25),Assumptions!$C$25*(1+Assumptions!$D$25)^(S$6-$C$6),0)</f>
        <v>0</v>
      </c>
      <c r="T16" s="214">
        <f>IF(AND(T$6&gt;=Assumptions!$E$25,T$6&lt;=Assumptions!$F$25),Assumptions!$C$25*(1+Assumptions!$D$25)^(T$6-$C$6),0)</f>
        <v>0</v>
      </c>
      <c r="U16" s="214">
        <f>IF(AND(U$6&gt;=Assumptions!$E$25,U$6&lt;=Assumptions!$F$25),Assumptions!$C$25*(1+Assumptions!$D$25)^(U$6-$C$6),0)</f>
        <v>0</v>
      </c>
      <c r="V16" s="214">
        <f>IF(AND(V$6&gt;=Assumptions!$E$25,V$6&lt;=Assumptions!$F$25),Assumptions!$C$25*(1+Assumptions!$D$25)^(V$6-$C$6),0)</f>
        <v>0</v>
      </c>
      <c r="W16" s="214">
        <f>IF(AND(W$6&gt;=Assumptions!$E$25,W$6&lt;=Assumptions!$F$25),Assumptions!$C$25*(1+Assumptions!$D$25)^(W$6-$C$6),0)</f>
        <v>0</v>
      </c>
      <c r="X16" s="214">
        <f>IF(AND(X$6&gt;=Assumptions!$E$25,X$6&lt;=Assumptions!$F$25),Assumptions!$C$25*(1+Assumptions!$D$25)^(X$6-$C$6),0)</f>
        <v>0</v>
      </c>
      <c r="Y16" s="214">
        <f>IF(AND(Y$6&gt;=Assumptions!$E$25,Y$6&lt;=Assumptions!$F$25),Assumptions!$C$25*(1+Assumptions!$D$25)^(Y$6-$C$6),0)</f>
        <v>0</v>
      </c>
      <c r="Z16" s="214">
        <f>IF(AND(Z$6&gt;=Assumptions!$E$25,Z$6&lt;=Assumptions!$F$25),Assumptions!$C$25*(1+Assumptions!$D$25)^(Z$6-$C$6),0)</f>
        <v>0</v>
      </c>
      <c r="AA16" s="214">
        <f>IF(AND(AA$6&gt;=Assumptions!$E$25,AA$6&lt;=Assumptions!$F$25),Assumptions!$C$25*(1+Assumptions!$D$25)^(AA$6-$C$6),0)</f>
        <v>0</v>
      </c>
      <c r="AB16" s="174"/>
      <c r="AC16" s="174"/>
      <c r="AD16" s="174"/>
    </row>
    <row r="17" spans="1:30" ht="15.75" customHeight="1" x14ac:dyDescent="0.25">
      <c r="A17" s="193" t="s">
        <v>229</v>
      </c>
      <c r="B17" s="177"/>
      <c r="C17" s="347">
        <f>C13*C16</f>
        <v>0</v>
      </c>
      <c r="D17" s="347">
        <f t="shared" ref="D17:AA17" si="7">D13*D16</f>
        <v>0</v>
      </c>
      <c r="E17" s="347">
        <f t="shared" si="7"/>
        <v>0</v>
      </c>
      <c r="F17" s="347">
        <f t="shared" si="7"/>
        <v>0</v>
      </c>
      <c r="G17" s="347">
        <f t="shared" si="7"/>
        <v>0</v>
      </c>
      <c r="H17" s="347">
        <f t="shared" si="7"/>
        <v>0</v>
      </c>
      <c r="I17" s="347">
        <f t="shared" si="7"/>
        <v>0</v>
      </c>
      <c r="J17" s="347">
        <f t="shared" si="7"/>
        <v>0</v>
      </c>
      <c r="K17" s="347">
        <f t="shared" si="7"/>
        <v>0</v>
      </c>
      <c r="L17" s="347">
        <f t="shared" si="7"/>
        <v>0</v>
      </c>
      <c r="M17" s="347">
        <f t="shared" si="7"/>
        <v>0</v>
      </c>
      <c r="N17" s="347">
        <f t="shared" si="7"/>
        <v>0</v>
      </c>
      <c r="O17" s="347">
        <f t="shared" si="7"/>
        <v>0</v>
      </c>
      <c r="P17" s="347">
        <f t="shared" si="7"/>
        <v>0</v>
      </c>
      <c r="Q17" s="347">
        <f t="shared" si="7"/>
        <v>0</v>
      </c>
      <c r="R17" s="347">
        <f t="shared" si="7"/>
        <v>0</v>
      </c>
      <c r="S17" s="347">
        <f t="shared" si="7"/>
        <v>0</v>
      </c>
      <c r="T17" s="347">
        <f t="shared" si="7"/>
        <v>0</v>
      </c>
      <c r="U17" s="347">
        <f t="shared" si="7"/>
        <v>0</v>
      </c>
      <c r="V17" s="347">
        <f t="shared" si="7"/>
        <v>0</v>
      </c>
      <c r="W17" s="347">
        <f t="shared" si="7"/>
        <v>0</v>
      </c>
      <c r="X17" s="347">
        <f t="shared" si="7"/>
        <v>0</v>
      </c>
      <c r="Y17" s="347">
        <f t="shared" si="7"/>
        <v>0</v>
      </c>
      <c r="Z17" s="347">
        <f t="shared" si="7"/>
        <v>0</v>
      </c>
      <c r="AA17" s="347">
        <f t="shared" si="7"/>
        <v>0</v>
      </c>
      <c r="AB17" s="174"/>
      <c r="AC17" s="174"/>
      <c r="AD17" s="174"/>
    </row>
    <row r="18" spans="1:30" ht="15.75" customHeight="1" x14ac:dyDescent="0.25">
      <c r="A18" s="193" t="str">
        <f>Assumptions!B26</f>
        <v>End customer price for Electricity (€/kWh)</v>
      </c>
      <c r="B18" s="177"/>
      <c r="C18" s="214">
        <f>IF(AND(C$6&gt;=Assumptions!$E$26,C$6&lt;=Assumptions!$F$26),Assumptions!$C$26*(1+Assumptions!$D$26)^(C$6-$C$6),0)</f>
        <v>0</v>
      </c>
      <c r="D18" s="214">
        <f>IF(AND(D$6&gt;=Assumptions!$E$26,D$6&lt;=Assumptions!$F$26),Assumptions!$C$26*(1+Assumptions!$D$26)^(D$6-$C$6),0)</f>
        <v>0</v>
      </c>
      <c r="E18" s="214">
        <f>IF(AND(E$6&gt;=Assumptions!$E$26,E$6&lt;=Assumptions!$F$26),Assumptions!$C$26*(1+Assumptions!$D$26)^(E$6-$C$6),0)</f>
        <v>0</v>
      </c>
      <c r="F18" s="214">
        <f>IF(AND(F$6&gt;=Assumptions!$E$26,F$6&lt;=Assumptions!$F$26),Assumptions!$C$26*(1+Assumptions!$D$26)^(F$6-$C$6),0)</f>
        <v>0</v>
      </c>
      <c r="G18" s="214">
        <f>IF(AND(G$6&gt;=Assumptions!$E$26,G$6&lt;=Assumptions!$F$26),Assumptions!$C$26*(1+Assumptions!$D$26)^(G$6-$C$6),0)</f>
        <v>0</v>
      </c>
      <c r="H18" s="214">
        <f>IF(AND(H$6&gt;=Assumptions!$E$26,H$6&lt;=Assumptions!$F$26),Assumptions!$C$26*(1+Assumptions!$D$26)^(H$6-$C$6),0)</f>
        <v>0</v>
      </c>
      <c r="I18" s="214">
        <f>IF(AND(I$6&gt;=Assumptions!$E$26,I$6&lt;=Assumptions!$F$26),Assumptions!$C$26*(1+Assumptions!$D$26)^(I$6-$C$6),0)</f>
        <v>0</v>
      </c>
      <c r="J18" s="214">
        <f>IF(AND(J$6&gt;=Assumptions!$E$26,J$6&lt;=Assumptions!$F$26),Assumptions!$C$26*(1+Assumptions!$D$26)^(J$6-$C$6),0)</f>
        <v>0</v>
      </c>
      <c r="K18" s="214">
        <f>IF(AND(K$6&gt;=Assumptions!$E$26,K$6&lt;=Assumptions!$F$26),Assumptions!$C$26*(1+Assumptions!$D$26)^(K$6-$C$6),0)</f>
        <v>0</v>
      </c>
      <c r="L18" s="214">
        <f>IF(AND(L$6&gt;=Assumptions!$E$26,L$6&lt;=Assumptions!$F$26),Assumptions!$C$26*(1+Assumptions!$D$26)^(L$6-$C$6),0)</f>
        <v>0</v>
      </c>
      <c r="M18" s="214">
        <f>IF(AND(M$6&gt;=Assumptions!$E$26,M$6&lt;=Assumptions!$F$26),Assumptions!$C$26*(1+Assumptions!$D$26)^(M$6-$C$6),0)</f>
        <v>0</v>
      </c>
      <c r="N18" s="214">
        <f>IF(AND(N$6&gt;=Assumptions!$E$26,N$6&lt;=Assumptions!$F$26),Assumptions!$C$26*(1+Assumptions!$D$26)^(N$6-$C$6),0)</f>
        <v>0</v>
      </c>
      <c r="O18" s="214">
        <f>IF(AND(O$6&gt;=Assumptions!$E$26,O$6&lt;=Assumptions!$F$26),Assumptions!$C$26*(1+Assumptions!$D$26)^(O$6-$C$6),0)</f>
        <v>0</v>
      </c>
      <c r="P18" s="214">
        <f>IF(AND(P$6&gt;=Assumptions!$E$26,P$6&lt;=Assumptions!$F$26),Assumptions!$C$26*(1+Assumptions!$D$26)^(P$6-$C$6),0)</f>
        <v>0</v>
      </c>
      <c r="Q18" s="214">
        <f>IF(AND(Q$6&gt;=Assumptions!$E$26,Q$6&lt;=Assumptions!$F$26),Assumptions!$C$26*(1+Assumptions!$D$26)^(Q$6-$C$6),0)</f>
        <v>0</v>
      </c>
      <c r="R18" s="214">
        <f>IF(AND(R$6&gt;=Assumptions!$E$26,R$6&lt;=Assumptions!$F$26),Assumptions!$C$26*(1+Assumptions!$D$26)^(R$6-$C$6),0)</f>
        <v>0</v>
      </c>
      <c r="S18" s="214">
        <f>IF(AND(S$6&gt;=Assumptions!$E$26,S$6&lt;=Assumptions!$F$26),Assumptions!$C$26*(1+Assumptions!$D$26)^(S$6-$C$6),0)</f>
        <v>0</v>
      </c>
      <c r="T18" s="214">
        <f>IF(AND(T$6&gt;=Assumptions!$E$26,T$6&lt;=Assumptions!$F$26),Assumptions!$C$26*(1+Assumptions!$D$26)^(T$6-$C$6),0)</f>
        <v>0</v>
      </c>
      <c r="U18" s="214">
        <f>IF(AND(U$6&gt;=Assumptions!$E$26,U$6&lt;=Assumptions!$F$26),Assumptions!$C$26*(1+Assumptions!$D$26)^(U$6-$C$6),0)</f>
        <v>0</v>
      </c>
      <c r="V18" s="214">
        <f>IF(AND(V$6&gt;=Assumptions!$E$26,V$6&lt;=Assumptions!$F$26),Assumptions!$C$26*(1+Assumptions!$D$26)^(V$6-$C$6),0)</f>
        <v>0</v>
      </c>
      <c r="W18" s="214">
        <f>IF(AND(W$6&gt;=Assumptions!$E$26,W$6&lt;=Assumptions!$F$26),Assumptions!$C$26*(1+Assumptions!$D$26)^(W$6-$C$6),0)</f>
        <v>0</v>
      </c>
      <c r="X18" s="214">
        <f>IF(AND(X$6&gt;=Assumptions!$E$26,X$6&lt;=Assumptions!$F$26),Assumptions!$C$26*(1+Assumptions!$D$26)^(X$6-$C$6),0)</f>
        <v>0</v>
      </c>
      <c r="Y18" s="214">
        <f>IF(AND(Y$6&gt;=Assumptions!$E$26,Y$6&lt;=Assumptions!$F$26),Assumptions!$C$26*(1+Assumptions!$D$26)^(Y$6-$C$6),0)</f>
        <v>0</v>
      </c>
      <c r="Z18" s="214">
        <f>IF(AND(Z$6&gt;=Assumptions!$E$26,Z$6&lt;=Assumptions!$F$26),Assumptions!$C$26*(1+Assumptions!$D$26)^(Z$6-$C$6),0)</f>
        <v>0</v>
      </c>
      <c r="AA18" s="214">
        <f>IF(AND(AA$6&gt;=Assumptions!$E$26,AA$6&lt;=Assumptions!$F$26),Assumptions!$C$26*(1+Assumptions!$D$26)^(AA$6-$C$6),0)</f>
        <v>0</v>
      </c>
      <c r="AB18" s="174"/>
      <c r="AC18" s="174"/>
      <c r="AD18" s="174"/>
    </row>
    <row r="19" spans="1:30" ht="15.75" customHeight="1" x14ac:dyDescent="0.25">
      <c r="A19" s="204" t="s">
        <v>223</v>
      </c>
      <c r="B19" s="177"/>
      <c r="C19" s="192">
        <f>C13*C18</f>
        <v>0</v>
      </c>
      <c r="D19" s="192">
        <f t="shared" ref="D19:AA19" si="8">D13*D18</f>
        <v>0</v>
      </c>
      <c r="E19" s="192">
        <f t="shared" si="8"/>
        <v>0</v>
      </c>
      <c r="F19" s="192">
        <f t="shared" si="8"/>
        <v>0</v>
      </c>
      <c r="G19" s="192">
        <f t="shared" si="8"/>
        <v>0</v>
      </c>
      <c r="H19" s="192">
        <f t="shared" si="8"/>
        <v>0</v>
      </c>
      <c r="I19" s="192">
        <f t="shared" si="8"/>
        <v>0</v>
      </c>
      <c r="J19" s="192">
        <f t="shared" si="8"/>
        <v>0</v>
      </c>
      <c r="K19" s="192">
        <f t="shared" si="8"/>
        <v>0</v>
      </c>
      <c r="L19" s="192">
        <f t="shared" si="8"/>
        <v>0</v>
      </c>
      <c r="M19" s="192">
        <f t="shared" si="8"/>
        <v>0</v>
      </c>
      <c r="N19" s="192">
        <f t="shared" si="8"/>
        <v>0</v>
      </c>
      <c r="O19" s="192">
        <f t="shared" si="8"/>
        <v>0</v>
      </c>
      <c r="P19" s="192">
        <f t="shared" si="8"/>
        <v>0</v>
      </c>
      <c r="Q19" s="192">
        <f t="shared" si="8"/>
        <v>0</v>
      </c>
      <c r="R19" s="192">
        <f t="shared" si="8"/>
        <v>0</v>
      </c>
      <c r="S19" s="192">
        <f t="shared" si="8"/>
        <v>0</v>
      </c>
      <c r="T19" s="192">
        <f t="shared" si="8"/>
        <v>0</v>
      </c>
      <c r="U19" s="192">
        <f t="shared" si="8"/>
        <v>0</v>
      </c>
      <c r="V19" s="192">
        <f t="shared" si="8"/>
        <v>0</v>
      </c>
      <c r="W19" s="192">
        <f t="shared" si="8"/>
        <v>0</v>
      </c>
      <c r="X19" s="192">
        <f t="shared" si="8"/>
        <v>0</v>
      </c>
      <c r="Y19" s="192">
        <f t="shared" si="8"/>
        <v>0</v>
      </c>
      <c r="Z19" s="192">
        <f t="shared" si="8"/>
        <v>0</v>
      </c>
      <c r="AA19" s="192">
        <f t="shared" si="8"/>
        <v>0</v>
      </c>
      <c r="AB19" s="174"/>
      <c r="AC19" s="174"/>
      <c r="AD19" s="174"/>
    </row>
    <row r="20" spans="1:30" ht="15.75" customHeight="1" x14ac:dyDescent="0.25">
      <c r="A20" s="204" t="s">
        <v>224</v>
      </c>
      <c r="B20" s="177"/>
      <c r="C20" s="213">
        <f>IF(AND(C$6&gt;=Assumptions!$L$8,C$6&lt;=Assumptions!$M$8),(Assumptions!$J$8*C$12)*(1+Assumptions!$K$8)^(C$6-$C$6),0)</f>
        <v>9469.1520000000019</v>
      </c>
      <c r="D20" s="213">
        <f>IF(AND(D$6&gt;=Assumptions!$L$8,D$6&lt;=Assumptions!$M$8),(Assumptions!$J$8*D$12)*(1+Assumptions!$K$8)^(D$6-$C$6),0)</f>
        <v>9372.5666496000013</v>
      </c>
      <c r="E20" s="213">
        <f>IF(AND(E$6&gt;=Assumptions!$L$8,E$6&lt;=Assumptions!$M$8),(Assumptions!$J$8*E$12)*(1+Assumptions!$K$8)^(E$6-$C$6),0)</f>
        <v>9273.1026769920009</v>
      </c>
      <c r="F20" s="213">
        <f>IF(AND(F$6&gt;=Assumptions!$L$8,F$6&lt;=Assumptions!$M$8),(Assumptions!$J$8*F$12)*(1+Assumptions!$K$8)^(F$6-$C$6),0)</f>
        <v>9170.7121682668803</v>
      </c>
      <c r="G20" s="213">
        <f>IF(AND(G$6&gt;=Assumptions!$L$8,G$6&lt;=Assumptions!$M$8),(Assumptions!$J$8*G$12)*(1+Assumptions!$K$8)^(G$6-$C$6),0)</f>
        <v>9065.3465390995607</v>
      </c>
      <c r="H20" s="213">
        <f>IF(AND(H$6&gt;=Assumptions!$L$8,H$6&lt;=Assumptions!$M$8),(Assumptions!$J$8*H$12)*(1+Assumptions!$K$8)^(H$6-$C$6),0)</f>
        <v>8956.956526132064</v>
      </c>
      <c r="I20" s="213">
        <f>IF(AND(I$6&gt;=Assumptions!$L$8,I$6&lt;=Assumptions!$M$8),(Assumptions!$J$8*I$12)*(1+Assumptions!$K$8)^(I$6-$C$6),0)</f>
        <v>8845.492178251312</v>
      </c>
      <c r="J20" s="213">
        <f>IF(AND(J$6&gt;=Assumptions!$L$8,J$6&lt;=Assumptions!$M$8),(Assumptions!$J$8*J$12)*(1+Assumptions!$K$8)^(J$6-$C$6),0)</f>
        <v>8730.902847760326</v>
      </c>
      <c r="K20" s="213">
        <f>IF(AND(K$6&gt;=Assumptions!$L$8,K$6&lt;=Assumptions!$M$8),(Assumptions!$J$8*K$12)*(1+Assumptions!$K$8)^(K$6-$C$6),0)</f>
        <v>8613.1371814417016</v>
      </c>
      <c r="L20" s="213">
        <f>IF(AND(L$6&gt;=Assumptions!$L$8,L$6&lt;=Assumptions!$M$8),(Assumptions!$J$8*L$12)*(1+Assumptions!$K$8)^(L$6-$C$6),0)</f>
        <v>8492.1431115119249</v>
      </c>
      <c r="M20" s="213">
        <f>IF(AND(M$6&gt;=Assumptions!$L$8,M$6&lt;=Assumptions!$M$8),(Assumptions!$J$8*M$12)*(1+Assumptions!$K$8)^(M$6-$C$6),0)</f>
        <v>8367.8678464654095</v>
      </c>
      <c r="N20" s="213">
        <f>IF(AND(N$6&gt;=Assumptions!$L$8,N$6&lt;=Assumptions!$M$8),(Assumptions!$J$8*N$12)*(1+Assumptions!$K$8)^(N$6-$C$6),0)</f>
        <v>8240.2578618068092</v>
      </c>
      <c r="O20" s="213">
        <f>IF(AND(O$6&gt;=Assumptions!$L$8,O$6&lt;=Assumptions!$M$8),(Assumptions!$J$8*O$12)*(1+Assumptions!$K$8)^(O$6-$C$6),0)</f>
        <v>8109.2588906703941</v>
      </c>
      <c r="P20" s="213">
        <f>IF(AND(P$6&gt;=Assumptions!$L$8,P$6&lt;=Assumptions!$M$8),(Assumptions!$J$8*P$12)*(1+Assumptions!$K$8)^(P$6-$C$6),0)</f>
        <v>7974.8159143250696</v>
      </c>
      <c r="Q20" s="213">
        <f>IF(AND(Q$6&gt;=Assumptions!$L$8,Q$6&lt;=Assumptions!$M$8),(Assumptions!$J$8*Q$12)*(1+Assumptions!$K$8)^(Q$6-$C$6),0)</f>
        <v>7836.8731525637722</v>
      </c>
      <c r="R20" s="213">
        <f>IF(AND(R$6&gt;=Assumptions!$L$8,R$6&lt;=Assumptions!$M$8),(Assumptions!$J$8*R$12)*(1+Assumptions!$K$8)^(R$6-$C$6),0)</f>
        <v>7695.3740539758128</v>
      </c>
      <c r="S20" s="213">
        <f>IF(AND(S$6&gt;=Assumptions!$L$8,S$6&lt;=Assumptions!$M$8),(Assumptions!$J$8*S$12)*(1+Assumptions!$K$8)^(S$6-$C$6),0)</f>
        <v>7550.2612861008429</v>
      </c>
      <c r="T20" s="213">
        <f>IF(AND(T$6&gt;=Assumptions!$L$8,T$6&lt;=Assumptions!$M$8),(Assumptions!$J$8*T$12)*(1+Assumptions!$K$8)^(T$6-$C$6),0)</f>
        <v>7401.4767254629733</v>
      </c>
      <c r="U20" s="213">
        <f>IF(AND(U$6&gt;=Assumptions!$L$8,U$6&lt;=Assumptions!$M$8),(Assumptions!$J$8*U$12)*(1+Assumptions!$K$8)^(U$6-$C$6),0)</f>
        <v>7248.9614474837354</v>
      </c>
      <c r="V20" s="213">
        <f>IF(AND(V$6&gt;=Assumptions!$L$8,V$6&lt;=Assumptions!$M$8),(Assumptions!$J$8*V$12)*(1+Assumptions!$K$8)^(V$6-$C$6),0)</f>
        <v>7092.6557162723675</v>
      </c>
      <c r="W20" s="213">
        <f>IF(AND(W$6&gt;=Assumptions!$L$8,W$6&lt;=Assumptions!$M$8),(Assumptions!$J$8*W$12)*(1+Assumptions!$K$8)^(W$6-$C$6),0)</f>
        <v>0</v>
      </c>
      <c r="X20" s="213">
        <f>IF(AND(X$6&gt;=Assumptions!$L$8,X$6&lt;=Assumptions!$M$8),(Assumptions!$J$8*X$12)*(1+Assumptions!$K$8)^(X$6-$C$6),0)</f>
        <v>0</v>
      </c>
      <c r="Y20" s="213">
        <f>IF(AND(Y$6&gt;=Assumptions!$L$8,Y$6&lt;=Assumptions!$M$8),(Assumptions!$J$8*Y$12)*(1+Assumptions!$K$8)^(Y$6-$C$6),0)</f>
        <v>0</v>
      </c>
      <c r="Z20" s="213">
        <f>IF(AND(Z$6&gt;=Assumptions!$L$8,Z$6&lt;=Assumptions!$M$8),(Assumptions!$J$8*Z$12)*(1+Assumptions!$K$8)^(Z$6-$C$6),0)</f>
        <v>0</v>
      </c>
      <c r="AA20" s="213">
        <f>IF(AND(AA$6&gt;=Assumptions!$L$8,AA$6&lt;=Assumptions!$M$8),(Assumptions!$J$8*AA$12)*(1+Assumptions!$K$8)^(AA$6-$C$6),0)</f>
        <v>0</v>
      </c>
      <c r="AB20" s="174"/>
      <c r="AC20" s="174"/>
      <c r="AD20" s="174"/>
    </row>
    <row r="21" spans="1:30" ht="15.75" customHeight="1" thickBot="1" x14ac:dyDescent="0.3">
      <c r="A21" s="197" t="s">
        <v>225</v>
      </c>
      <c r="B21" s="211"/>
      <c r="C21" s="348">
        <f t="shared" ref="C21:AA21" si="9">C15+C17+C19+C20</f>
        <v>9469.1520000000019</v>
      </c>
      <c r="D21" s="348">
        <f t="shared" si="9"/>
        <v>9372.5666496000013</v>
      </c>
      <c r="E21" s="348">
        <f t="shared" si="9"/>
        <v>9273.1026769920009</v>
      </c>
      <c r="F21" s="348">
        <f t="shared" si="9"/>
        <v>9170.7121682668803</v>
      </c>
      <c r="G21" s="348">
        <f t="shared" si="9"/>
        <v>9065.3465390995607</v>
      </c>
      <c r="H21" s="348">
        <f t="shared" si="9"/>
        <v>8956.956526132064</v>
      </c>
      <c r="I21" s="348">
        <f t="shared" si="9"/>
        <v>8845.492178251312</v>
      </c>
      <c r="J21" s="348">
        <f t="shared" si="9"/>
        <v>8730.902847760326</v>
      </c>
      <c r="K21" s="348">
        <f t="shared" si="9"/>
        <v>8613.1371814417016</v>
      </c>
      <c r="L21" s="348">
        <f t="shared" si="9"/>
        <v>8492.1431115119249</v>
      </c>
      <c r="M21" s="348">
        <f t="shared" si="9"/>
        <v>8367.8678464654095</v>
      </c>
      <c r="N21" s="348">
        <f t="shared" si="9"/>
        <v>8240.2578618068092</v>
      </c>
      <c r="O21" s="348">
        <f t="shared" si="9"/>
        <v>8109.2588906703941</v>
      </c>
      <c r="P21" s="348">
        <f t="shared" si="9"/>
        <v>7974.8159143250696</v>
      </c>
      <c r="Q21" s="348">
        <f t="shared" si="9"/>
        <v>7836.8731525637722</v>
      </c>
      <c r="R21" s="348">
        <f t="shared" si="9"/>
        <v>7695.3740539758128</v>
      </c>
      <c r="S21" s="348">
        <f t="shared" si="9"/>
        <v>7550.2612861008429</v>
      </c>
      <c r="T21" s="348">
        <f t="shared" si="9"/>
        <v>7401.4767254629733</v>
      </c>
      <c r="U21" s="348">
        <f t="shared" si="9"/>
        <v>7248.9614474837354</v>
      </c>
      <c r="V21" s="348">
        <f t="shared" si="9"/>
        <v>7092.6557162723675</v>
      </c>
      <c r="W21" s="348">
        <f t="shared" si="9"/>
        <v>0</v>
      </c>
      <c r="X21" s="348">
        <f t="shared" si="9"/>
        <v>0</v>
      </c>
      <c r="Y21" s="348">
        <f t="shared" si="9"/>
        <v>0</v>
      </c>
      <c r="Z21" s="348">
        <f t="shared" si="9"/>
        <v>0</v>
      </c>
      <c r="AA21" s="348">
        <f t="shared" si="9"/>
        <v>0</v>
      </c>
      <c r="AB21" s="174"/>
      <c r="AC21" s="174"/>
      <c r="AD21" s="174"/>
    </row>
    <row r="22" spans="1:30" ht="15.75" customHeight="1" x14ac:dyDescent="0.25">
      <c r="A22" s="212"/>
      <c r="B22" s="211"/>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174"/>
      <c r="AC22" s="174"/>
      <c r="AD22" s="174"/>
    </row>
    <row r="23" spans="1:30" ht="15.75" customHeight="1" x14ac:dyDescent="0.25">
      <c r="A23" s="196" t="s">
        <v>138</v>
      </c>
      <c r="B23" s="209"/>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174"/>
      <c r="AC23" s="174"/>
      <c r="AD23" s="174"/>
    </row>
    <row r="24" spans="1:30" ht="15.75" customHeight="1" x14ac:dyDescent="0.25">
      <c r="A24" s="193" t="s">
        <v>89</v>
      </c>
      <c r="B24" s="177"/>
      <c r="C24" s="192">
        <f>IF(AND(C$6&gt;=Assumptions!$L$13,C$6&lt;=Assumptions!$M$13),(Assumptions!$J$13)*(1+Assumptions!$K$13)^(C$6-$C$6),0)</f>
        <v>672</v>
      </c>
      <c r="D24" s="192">
        <f>IF(AND(D$6&gt;=Assumptions!$L$13,D$6&lt;=Assumptions!$M$13),(Assumptions!$J$13)*(1+Assumptions!$K$13)^(D$6-$C$6),0)</f>
        <v>682.07999999999993</v>
      </c>
      <c r="E24" s="192">
        <f>IF(AND(E$6&gt;=Assumptions!$L$13,E$6&lt;=Assumptions!$M$13),(Assumptions!$J$13)*(1+Assumptions!$K$13)^(E$6-$C$6),0)</f>
        <v>692.31119999999987</v>
      </c>
      <c r="F24" s="192">
        <f>IF(AND(F$6&gt;=Assumptions!$L$13,F$6&lt;=Assumptions!$M$13),(Assumptions!$J$13)*(1+Assumptions!$K$13)^(F$6-$C$6),0)</f>
        <v>702.69586799999979</v>
      </c>
      <c r="G24" s="192">
        <f>IF(AND(G$6&gt;=Assumptions!$L$13,G$6&lt;=Assumptions!$M$13),(Assumptions!$J$13)*(1+Assumptions!$K$13)^(G$6-$C$6),0)</f>
        <v>713.23630601999957</v>
      </c>
      <c r="H24" s="192">
        <f>IF(AND(H$6&gt;=Assumptions!$L$13,H$6&lt;=Assumptions!$M$13),(Assumptions!$J$13)*(1+Assumptions!$K$13)^(H$6-$C$6),0)</f>
        <v>723.93485061029946</v>
      </c>
      <c r="I24" s="192">
        <f>IF(AND(I$6&gt;=Assumptions!$L$13,I$6&lt;=Assumptions!$M$13),(Assumptions!$J$13)*(1+Assumptions!$K$13)^(I$6-$C$6),0)</f>
        <v>734.79387336945388</v>
      </c>
      <c r="J24" s="192">
        <f>IF(AND(J$6&gt;=Assumptions!$L$13,J$6&lt;=Assumptions!$M$13),(Assumptions!$J$13)*(1+Assumptions!$K$13)^(J$6-$C$6),0)</f>
        <v>745.81578146999561</v>
      </c>
      <c r="K24" s="192">
        <f>IF(AND(K$6&gt;=Assumptions!$L$13,K$6&lt;=Assumptions!$M$13),(Assumptions!$J$13)*(1+Assumptions!$K$13)^(K$6-$C$6),0)</f>
        <v>757.00301819204549</v>
      </c>
      <c r="L24" s="192">
        <f>IF(AND(L$6&gt;=Assumptions!$L$13,L$6&lt;=Assumptions!$M$13),(Assumptions!$J$13)*(1+Assumptions!$K$13)^(L$6-$C$6),0)</f>
        <v>768.35806346492598</v>
      </c>
      <c r="M24" s="192">
        <f>IF(AND(M$6&gt;=Assumptions!$L$13,M$6&lt;=Assumptions!$M$13),(Assumptions!$J$13)*(1+Assumptions!$K$13)^(M$6-$C$6),0)</f>
        <v>779.88343441689983</v>
      </c>
      <c r="N24" s="192">
        <f>IF(AND(N$6&gt;=Assumptions!$L$13,N$6&lt;=Assumptions!$M$13),(Assumptions!$J$13)*(1+Assumptions!$K$13)^(N$6-$C$6),0)</f>
        <v>791.58168593315327</v>
      </c>
      <c r="O24" s="192">
        <f>IF(AND(O$6&gt;=Assumptions!$L$13,O$6&lt;=Assumptions!$M$13),(Assumptions!$J$13)*(1+Assumptions!$K$13)^(O$6-$C$6),0)</f>
        <v>803.45541122215036</v>
      </c>
      <c r="P24" s="192">
        <f>IF(AND(P$6&gt;=Assumptions!$L$13,P$6&lt;=Assumptions!$M$13),(Assumptions!$J$13)*(1+Assumptions!$K$13)^(P$6-$C$6),0)</f>
        <v>815.50724239048259</v>
      </c>
      <c r="Q24" s="192">
        <f>IF(AND(Q$6&gt;=Assumptions!$L$13,Q$6&lt;=Assumptions!$M$13),(Assumptions!$J$13)*(1+Assumptions!$K$13)^(Q$6-$C$6),0)</f>
        <v>827.73985102633958</v>
      </c>
      <c r="R24" s="192">
        <f>IF(AND(R$6&gt;=Assumptions!$L$13,R$6&lt;=Assumptions!$M$13),(Assumptions!$J$13)*(1+Assumptions!$K$13)^(R$6-$C$6),0)</f>
        <v>840.15594879173455</v>
      </c>
      <c r="S24" s="192">
        <f>IF(AND(S$6&gt;=Assumptions!$L$13,S$6&lt;=Assumptions!$M$13),(Assumptions!$J$13)*(1+Assumptions!$K$13)^(S$6-$C$6),0)</f>
        <v>852.75828802361048</v>
      </c>
      <c r="T24" s="192">
        <f>IF(AND(T$6&gt;=Assumptions!$L$13,T$6&lt;=Assumptions!$M$13),(Assumptions!$J$13)*(1+Assumptions!$K$13)^(T$6-$C$6),0)</f>
        <v>865.54966234396454</v>
      </c>
      <c r="U24" s="192">
        <f>IF(AND(U$6&gt;=Assumptions!$L$13,U$6&lt;=Assumptions!$M$13),(Assumptions!$J$13)*(1+Assumptions!$K$13)^(U$6-$C$6),0)</f>
        <v>878.53290727912395</v>
      </c>
      <c r="V24" s="192">
        <f>IF(AND(V$6&gt;=Assumptions!$L$13,V$6&lt;=Assumptions!$M$13),(Assumptions!$J$13)*(1+Assumptions!$K$13)^(V$6-$C$6),0)</f>
        <v>891.71090088831068</v>
      </c>
      <c r="W24" s="192">
        <f>IF(AND(W$6&gt;=Assumptions!$L$13,W$6&lt;=Assumptions!$M$13),(Assumptions!$J$13)*(1+Assumptions!$K$13)^(W$6-$C$6),0)</f>
        <v>0</v>
      </c>
      <c r="X24" s="192">
        <f>IF(AND(X$6&gt;=Assumptions!$L$13,X$6&lt;=Assumptions!$M$13),(Assumptions!$J$13)*(1+Assumptions!$K$13)^(X$6-$C$6),0)</f>
        <v>0</v>
      </c>
      <c r="Y24" s="192">
        <f>IF(AND(Y$6&gt;=Assumptions!$L$13,Y$6&lt;=Assumptions!$M$13),(Assumptions!$J$13)*(1+Assumptions!$K$13)^(Y$6-$C$6),0)</f>
        <v>0</v>
      </c>
      <c r="Z24" s="192">
        <f>IF(AND(Z$6&gt;=Assumptions!$L$13,Z$6&lt;=Assumptions!$M$13),(Assumptions!$J$13)*(1+Assumptions!$K$13)^(Z$6-$C$6),0)</f>
        <v>0</v>
      </c>
      <c r="AA24" s="192">
        <f>IF(AND(AA$6&gt;=Assumptions!$L$13,AA$6&lt;=Assumptions!$M$13),(Assumptions!$J$13)*(1+Assumptions!$K$13)^(AA$6-$C$6),0)</f>
        <v>0</v>
      </c>
      <c r="AB24" s="174"/>
      <c r="AC24" s="174"/>
      <c r="AD24" s="174"/>
    </row>
    <row r="25" spans="1:30" ht="15.75" customHeight="1" x14ac:dyDescent="0.25">
      <c r="A25" s="193" t="s">
        <v>86</v>
      </c>
      <c r="B25" s="177"/>
      <c r="C25" s="192">
        <f>IF(AND(C$6&gt;=Assumptions!$L$14,C$6&lt;=Assumptions!$M$14),(Assumptions!$J$14)*(1+Assumptions!$K$14)^(C$6-$C$6),0)</f>
        <v>328</v>
      </c>
      <c r="D25" s="192">
        <f>IF(AND(D$6&gt;=Assumptions!$L$14,D$6&lt;=Assumptions!$M$14),(Assumptions!$J$14)*(1+Assumptions!$K$14)^(D$6-$C$6),0)</f>
        <v>332.91999999999996</v>
      </c>
      <c r="E25" s="192">
        <f>IF(AND(E$6&gt;=Assumptions!$L$14,E$6&lt;=Assumptions!$M$14),(Assumptions!$J$14)*(1+Assumptions!$K$14)^(E$6-$C$6),0)</f>
        <v>337.91379999999992</v>
      </c>
      <c r="F25" s="192">
        <f>IF(AND(F$6&gt;=Assumptions!$L$14,F$6&lt;=Assumptions!$M$14),(Assumptions!$J$14)*(1+Assumptions!$K$14)^(F$6-$C$6),0)</f>
        <v>342.98250699999988</v>
      </c>
      <c r="G25" s="192">
        <f>IF(AND(G$6&gt;=Assumptions!$L$14,G$6&lt;=Assumptions!$M$14),(Assumptions!$J$14)*(1+Assumptions!$K$14)^(G$6-$C$6),0)</f>
        <v>348.12724460499982</v>
      </c>
      <c r="H25" s="192">
        <f>IF(AND(H$6&gt;=Assumptions!$L$14,H$6&lt;=Assumptions!$M$14),(Assumptions!$J$14)*(1+Assumptions!$K$14)^(H$6-$C$6),0)</f>
        <v>353.34915327407475</v>
      </c>
      <c r="I25" s="192">
        <f>IF(AND(I$6&gt;=Assumptions!$L$14,I$6&lt;=Assumptions!$M$14),(Assumptions!$J$14)*(1+Assumptions!$K$14)^(I$6-$C$6),0)</f>
        <v>358.64939057318583</v>
      </c>
      <c r="J25" s="192">
        <f>IF(AND(J$6&gt;=Assumptions!$L$14,J$6&lt;=Assumptions!$M$14),(Assumptions!$J$14)*(1+Assumptions!$K$14)^(J$6-$C$6),0)</f>
        <v>364.02913143178353</v>
      </c>
      <c r="K25" s="192">
        <f>IF(AND(K$6&gt;=Assumptions!$L$14,K$6&lt;=Assumptions!$M$14),(Assumptions!$J$14)*(1+Assumptions!$K$14)^(K$6-$C$6),0)</f>
        <v>369.48956840326025</v>
      </c>
      <c r="L25" s="192">
        <f>IF(AND(L$6&gt;=Assumptions!$L$14,L$6&lt;=Assumptions!$M$14),(Assumptions!$J$14)*(1+Assumptions!$K$14)^(L$6-$C$6),0)</f>
        <v>375.0319119293091</v>
      </c>
      <c r="M25" s="192">
        <f>IF(AND(M$6&gt;=Assumptions!$L$14,M$6&lt;=Assumptions!$M$14),(Assumptions!$J$14)*(1+Assumptions!$K$14)^(M$6-$C$6),0)</f>
        <v>380.6573906082487</v>
      </c>
      <c r="N25" s="192">
        <f>IF(AND(N$6&gt;=Assumptions!$L$14,N$6&lt;=Assumptions!$M$14),(Assumptions!$J$14)*(1+Assumptions!$K$14)^(N$6-$C$6),0)</f>
        <v>386.3672514673724</v>
      </c>
      <c r="O25" s="192">
        <f>IF(AND(O$6&gt;=Assumptions!$L$14,O$6&lt;=Assumptions!$M$14),(Assumptions!$J$14)*(1+Assumptions!$K$14)^(O$6-$C$6),0)</f>
        <v>392.16276023938292</v>
      </c>
      <c r="P25" s="192">
        <f>IF(AND(P$6&gt;=Assumptions!$L$14,P$6&lt;=Assumptions!$M$14),(Assumptions!$J$14)*(1+Assumptions!$K$14)^(P$6-$C$6),0)</f>
        <v>398.04520164297361</v>
      </c>
      <c r="Q25" s="192">
        <f>IF(AND(Q$6&gt;=Assumptions!$L$14,Q$6&lt;=Assumptions!$M$14),(Assumptions!$J$14)*(1+Assumptions!$K$14)^(Q$6-$C$6),0)</f>
        <v>404.01587966761815</v>
      </c>
      <c r="R25" s="192">
        <f>IF(AND(R$6&gt;=Assumptions!$L$14,R$6&lt;=Assumptions!$M$14),(Assumptions!$J$14)*(1+Assumptions!$K$14)^(R$6-$C$6),0)</f>
        <v>410.07611786263237</v>
      </c>
      <c r="S25" s="192">
        <f>IF(AND(S$6&gt;=Assumptions!$L$14,S$6&lt;=Assumptions!$M$14),(Assumptions!$J$14)*(1+Assumptions!$K$14)^(S$6-$C$6),0)</f>
        <v>416.22725963057178</v>
      </c>
      <c r="T25" s="192">
        <f>IF(AND(T$6&gt;=Assumptions!$L$14,T$6&lt;=Assumptions!$M$14),(Assumptions!$J$14)*(1+Assumptions!$K$14)^(T$6-$C$6),0)</f>
        <v>422.47066852503031</v>
      </c>
      <c r="U25" s="192">
        <f>IF(AND(U$6&gt;=Assumptions!$L$14,U$6&lt;=Assumptions!$M$14),(Assumptions!$J$14)*(1+Assumptions!$K$14)^(U$6-$C$6),0)</f>
        <v>428.8077285529057</v>
      </c>
      <c r="V25" s="192">
        <f>IF(AND(V$6&gt;=Assumptions!$L$14,V$6&lt;=Assumptions!$M$14),(Assumptions!$J$14)*(1+Assumptions!$K$14)^(V$6-$C$6),0)</f>
        <v>435.23984448119927</v>
      </c>
      <c r="W25" s="192">
        <f>IF(AND(W$6&gt;=Assumptions!$L$14,W$6&lt;=Assumptions!$M$14),(Assumptions!$J$14)*(1+Assumptions!$K$14)^(W$6-$C$6),0)</f>
        <v>0</v>
      </c>
      <c r="X25" s="192">
        <f>IF(AND(X$6&gt;=Assumptions!$L$14,X$6&lt;=Assumptions!$M$14),(Assumptions!$J$14)*(1+Assumptions!$K$14)^(X$6-$C$6),0)</f>
        <v>0</v>
      </c>
      <c r="Y25" s="192">
        <f>IF(AND(Y$6&gt;=Assumptions!$L$14,Y$6&lt;=Assumptions!$M$14),(Assumptions!$J$14)*(1+Assumptions!$K$14)^(Y$6-$C$6),0)</f>
        <v>0</v>
      </c>
      <c r="Z25" s="192">
        <f>IF(AND(Z$6&gt;=Assumptions!$L$14,Z$6&lt;=Assumptions!$M$14),(Assumptions!$J$14)*(1+Assumptions!$K$14)^(Z$6-$C$6),0)</f>
        <v>0</v>
      </c>
      <c r="AA25" s="192">
        <f>IF(AND(AA$6&gt;=Assumptions!$L$14,AA$6&lt;=Assumptions!$M$14),(Assumptions!$J$14)*(1+Assumptions!$K$14)^(AA$6-$C$6),0)</f>
        <v>0</v>
      </c>
      <c r="AB25" s="174"/>
      <c r="AC25" s="174"/>
      <c r="AD25" s="174"/>
    </row>
    <row r="26" spans="1:30" ht="15.75" customHeight="1" x14ac:dyDescent="0.25">
      <c r="A26" s="193" t="s">
        <v>137</v>
      </c>
      <c r="B26" s="177"/>
      <c r="C26" s="192">
        <f>IF(AND(C6&gt;=Assumptions!$L$15,C6&lt;=Assumptions!$M$15),(Assumptions!$J$15)*(1+Assumptions!$K$15)^(C6-$C$6),0)</f>
        <v>323</v>
      </c>
      <c r="D26" s="192">
        <f>IF(AND(D6&gt;=Assumptions!$L$15,D6&lt;=Assumptions!$M$15),(Assumptions!$J$15)*(1+Assumptions!$K$15)^(D6-$C$6),0)</f>
        <v>327.84499999999997</v>
      </c>
      <c r="E26" s="192">
        <f>IF(AND(E6&gt;=Assumptions!$L$15,E6&lt;=Assumptions!$M$15),(Assumptions!$J$15)*(1+Assumptions!$K$15)^(E6-$C$6),0)</f>
        <v>332.76267499999989</v>
      </c>
      <c r="F26" s="192">
        <f>IF(AND(F6&gt;=Assumptions!$L$15,F6&lt;=Assumptions!$M$15),(Assumptions!$J$15)*(1+Assumptions!$K$15)^(F6-$C$6),0)</f>
        <v>337.75411512499988</v>
      </c>
      <c r="G26" s="192">
        <f>IF(AND(G6&gt;=Assumptions!$L$15,G6&lt;=Assumptions!$M$15),(Assumptions!$J$15)*(1+Assumptions!$K$15)^(G6-$C$6),0)</f>
        <v>342.8204268518748</v>
      </c>
      <c r="H26" s="192">
        <f>IF(AND(H6&gt;=Assumptions!$L$15,H6&lt;=Assumptions!$M$15),(Assumptions!$J$15)*(1+Assumptions!$K$15)^(H6-$C$6),0)</f>
        <v>347.9627332546529</v>
      </c>
      <c r="I26" s="192">
        <f>IF(AND(I6&gt;=Assumptions!$L$15,I6&lt;=Assumptions!$M$15),(Assumptions!$J$15)*(1+Assumptions!$K$15)^(I6-$C$6),0)</f>
        <v>353.18217425347262</v>
      </c>
      <c r="J26" s="192">
        <f>IF(AND(J6&gt;=Assumptions!$L$15,J6&lt;=Assumptions!$M$15),(Assumptions!$J$15)*(1+Assumptions!$K$15)^(J6-$C$6),0)</f>
        <v>358.47990686727468</v>
      </c>
      <c r="K26" s="192">
        <f>IF(AND(K6&gt;=Assumptions!$L$15,K6&lt;=Assumptions!$M$15),(Assumptions!$J$15)*(1+Assumptions!$K$15)^(K6-$C$6),0)</f>
        <v>363.85710547028373</v>
      </c>
      <c r="L26" s="192">
        <f>IF(AND(L6&gt;=Assumptions!$L$15,L6&lt;=Assumptions!$M$15),(Assumptions!$J$15)*(1+Assumptions!$K$15)^(L6-$C$6),0)</f>
        <v>369.31496205233793</v>
      </c>
      <c r="M26" s="192">
        <f>IF(AND(M6&gt;=Assumptions!$L$15,M6&lt;=Assumptions!$M$15),(Assumptions!$J$15)*(1+Assumptions!$K$15)^(M6-$C$6),0)</f>
        <v>374.85468648312298</v>
      </c>
      <c r="N26" s="192">
        <f>IF(AND(N6&gt;=Assumptions!$L$15,N6&lt;=Assumptions!$M$15),(Assumptions!$J$15)*(1+Assumptions!$K$15)^(N6-$C$6),0)</f>
        <v>380.47750678036977</v>
      </c>
      <c r="O26" s="192">
        <f>IF(AND(O6&gt;=Assumptions!$L$15,O6&lt;=Assumptions!$M$15),(Assumptions!$J$15)*(1+Assumptions!$K$15)^(O6-$C$6),0)</f>
        <v>386.18466938207524</v>
      </c>
      <c r="P26" s="192">
        <f>IF(AND(P6&gt;=Assumptions!$L$15,P6&lt;=Assumptions!$M$15),(Assumptions!$J$15)*(1+Assumptions!$K$15)^(P6-$C$6),0)</f>
        <v>391.97743942280636</v>
      </c>
      <c r="Q26" s="192">
        <f>IF(AND(Q6&gt;=Assumptions!$L$15,Q6&lt;=Assumptions!$M$15),(Assumptions!$J$15)*(1+Assumptions!$K$15)^(Q6-$C$6),0)</f>
        <v>397.85710101414833</v>
      </c>
      <c r="R26" s="192">
        <f>IF(AND(R6&gt;=Assumptions!$L$15,R6&lt;=Assumptions!$M$15),(Assumptions!$J$15)*(1+Assumptions!$K$15)^(R6-$C$6),0)</f>
        <v>403.82495752936052</v>
      </c>
      <c r="S26" s="192">
        <f>IF(AND(S6&gt;=Assumptions!$L$15,S6&lt;=Assumptions!$M$15),(Assumptions!$J$15)*(1+Assumptions!$K$15)^(S6-$C$6),0)</f>
        <v>409.88233189230084</v>
      </c>
      <c r="T26" s="192">
        <f>IF(AND(T6&gt;=Assumptions!$L$15,T6&lt;=Assumptions!$M$15),(Assumptions!$J$15)*(1+Assumptions!$K$15)^(T6-$C$6),0)</f>
        <v>416.03056687068533</v>
      </c>
      <c r="U26" s="192">
        <f>IF(AND(U6&gt;=Assumptions!$L$15,U6&lt;=Assumptions!$M$15),(Assumptions!$J$15)*(1+Assumptions!$K$15)^(U6-$C$6),0)</f>
        <v>422.2710253737456</v>
      </c>
      <c r="V26" s="192">
        <f>IF(AND(V6&gt;=Assumptions!$L$15,V6&lt;=Assumptions!$M$15),(Assumptions!$J$15)*(1+Assumptions!$K$15)^(V6-$C$6),0)</f>
        <v>428.60509075435169</v>
      </c>
      <c r="W26" s="192">
        <f>IF(AND(W6&gt;=Assumptions!$L$15,W6&lt;=Assumptions!$M$15),(Assumptions!$J$15)*(1+Assumptions!$K$15)^(W6-$C$6),0)</f>
        <v>0</v>
      </c>
      <c r="X26" s="192">
        <f>IF(AND(X6&gt;=Assumptions!$L$15,X6&lt;=Assumptions!$M$15),(Assumptions!$J$15)*(1+Assumptions!$K$15)^(X6-$C$6),0)</f>
        <v>0</v>
      </c>
      <c r="Y26" s="192">
        <f>IF(AND(Y6&gt;=Assumptions!$L$15,Y6&lt;=Assumptions!$M$15),(Assumptions!$J$15)*(1+Assumptions!$K$15)^(Y6-$C$6),0)</f>
        <v>0</v>
      </c>
      <c r="Z26" s="192">
        <f>IF(AND(Z6&gt;=Assumptions!$L$15,Z6&lt;=Assumptions!$M$15),(Assumptions!$J$15)*(1+Assumptions!$K$15)^(Z6-$C$6),0)</f>
        <v>0</v>
      </c>
      <c r="AA26" s="192">
        <f>IF(AND(AA6&gt;=Assumptions!$L$15,AA6&lt;=Assumptions!$M$15),(Assumptions!$J$15)*(1+Assumptions!$K$15)^(AA6-$C$6),0)</f>
        <v>0</v>
      </c>
      <c r="AB26" s="174"/>
      <c r="AC26" s="174"/>
      <c r="AD26" s="174"/>
    </row>
    <row r="27" spans="1:30" ht="15.75" customHeight="1" x14ac:dyDescent="0.25">
      <c r="A27" s="193" t="s">
        <v>136</v>
      </c>
      <c r="B27" s="177"/>
      <c r="C27" s="192">
        <f>IF(AND(C$6&gt;=Assumptions!$L$16,C$6&lt;=Assumptions!$M$16),(Assumptions!$J$16)*(1+Assumptions!$K$16)^(C$6-$C$6),0)</f>
        <v>600</v>
      </c>
      <c r="D27" s="192">
        <f>IF(AND(D$6&gt;=Assumptions!$L$16,D$6&lt;=Assumptions!$M$16),(Assumptions!$J$16)*(1+Assumptions!$K$16)^(D$6-$C$6),0)</f>
        <v>612</v>
      </c>
      <c r="E27" s="192">
        <f>IF(AND(E$6&gt;=Assumptions!$L$16,E$6&lt;=Assumptions!$M$16),(Assumptions!$J$16)*(1+Assumptions!$K$16)^(E$6-$C$6),0)</f>
        <v>624.24</v>
      </c>
      <c r="F27" s="192">
        <f>IF(AND(F$6&gt;=Assumptions!$L$16,F$6&lt;=Assumptions!$M$16),(Assumptions!$J$16)*(1+Assumptions!$K$16)^(F$6-$C$6),0)</f>
        <v>636.72479999999996</v>
      </c>
      <c r="G27" s="192">
        <f>IF(AND(G$6&gt;=Assumptions!$L$16,G$6&lt;=Assumptions!$M$16),(Assumptions!$J$16)*(1+Assumptions!$K$16)^(G$6-$C$6),0)</f>
        <v>649.45929599999999</v>
      </c>
      <c r="H27" s="192">
        <f>IF(AND(H$6&gt;=Assumptions!$L$16,H$6&lt;=Assumptions!$M$16),(Assumptions!$J$16)*(1+Assumptions!$K$16)^(H$6-$C$6),0)</f>
        <v>662.44848192000006</v>
      </c>
      <c r="I27" s="192">
        <f>IF(AND(I$6&gt;=Assumptions!$L$16,I$6&lt;=Assumptions!$M$16),(Assumptions!$J$16)*(1+Assumptions!$K$16)^(I$6-$C$6),0)</f>
        <v>675.69745155840008</v>
      </c>
      <c r="J27" s="192">
        <f>IF(AND(J$6&gt;=Assumptions!$L$16,J$6&lt;=Assumptions!$M$16),(Assumptions!$J$16)*(1+Assumptions!$K$16)^(J$6-$C$6),0)</f>
        <v>689.21140058956792</v>
      </c>
      <c r="K27" s="192">
        <f>IF(AND(K$6&gt;=Assumptions!$L$16,K$6&lt;=Assumptions!$M$16),(Assumptions!$J$16)*(1+Assumptions!$K$16)^(K$6-$C$6),0)</f>
        <v>702.99562860135927</v>
      </c>
      <c r="L27" s="192">
        <f>IF(AND(L$6&gt;=Assumptions!$L$16,L$6&lt;=Assumptions!$M$16),(Assumptions!$J$16)*(1+Assumptions!$K$16)^(L$6-$C$6),0)</f>
        <v>717.05554117338647</v>
      </c>
      <c r="M27" s="192">
        <f>IF(AND(M$6&gt;=Assumptions!$L$16,M$6&lt;=Assumptions!$M$16),(Assumptions!$J$16)*(1+Assumptions!$K$16)^(M$6-$C$6),0)</f>
        <v>731.3966519968543</v>
      </c>
      <c r="N27" s="192">
        <f>IF(AND(N$6&gt;=Assumptions!$L$16,N$6&lt;=Assumptions!$M$16),(Assumptions!$J$16)*(1+Assumptions!$K$16)^(N$6-$C$6),0)</f>
        <v>746.02458503679122</v>
      </c>
      <c r="O27" s="192">
        <f>IF(AND(O$6&gt;=Assumptions!$L$16,O$6&lt;=Assumptions!$M$16),(Assumptions!$J$16)*(1+Assumptions!$K$16)^(O$6-$C$6),0)</f>
        <v>760.94507673752719</v>
      </c>
      <c r="P27" s="192">
        <f>IF(AND(P$6&gt;=Assumptions!$L$16,P$6&lt;=Assumptions!$M$16),(Assumptions!$J$16)*(1+Assumptions!$K$16)^(P$6-$C$6),0)</f>
        <v>776.16397827227763</v>
      </c>
      <c r="Q27" s="192">
        <f>IF(AND(Q$6&gt;=Assumptions!$L$16,Q$6&lt;=Assumptions!$M$16),(Assumptions!$J$16)*(1+Assumptions!$K$16)^(Q$6-$C$6),0)</f>
        <v>791.68725783772334</v>
      </c>
      <c r="R27" s="192">
        <f>IF(AND(R$6&gt;=Assumptions!$L$16,R$6&lt;=Assumptions!$M$16),(Assumptions!$J$16)*(1+Assumptions!$K$16)^(R$6-$C$6),0)</f>
        <v>807.5210029944775</v>
      </c>
      <c r="S27" s="192">
        <f>IF(AND(S$6&gt;=Assumptions!$L$16,S$6&lt;=Assumptions!$M$16),(Assumptions!$J$16)*(1+Assumptions!$K$16)^(S$6-$C$6),0)</f>
        <v>823.67142305436721</v>
      </c>
      <c r="T27" s="192">
        <f>IF(AND(T$6&gt;=Assumptions!$L$16,T$6&lt;=Assumptions!$M$16),(Assumptions!$J$16)*(1+Assumptions!$K$16)^(T$6-$C$6),0)</f>
        <v>840.14485151545466</v>
      </c>
      <c r="U27" s="192">
        <f>IF(AND(U$6&gt;=Assumptions!$L$16,U$6&lt;=Assumptions!$M$16),(Assumptions!$J$16)*(1+Assumptions!$K$16)^(U$6-$C$6),0)</f>
        <v>856.9477485457636</v>
      </c>
      <c r="V27" s="192">
        <f>IF(AND(V$6&gt;=Assumptions!$L$16,V$6&lt;=Assumptions!$M$16),(Assumptions!$J$16)*(1+Assumptions!$K$16)^(V$6-$C$6),0)</f>
        <v>874.08670351667888</v>
      </c>
      <c r="W27" s="192">
        <f>IF(AND(W$6&gt;=Assumptions!$L$16,W$6&lt;=Assumptions!$M$16),(Assumptions!$J$16)*(1+Assumptions!$K$16)^(W$6-$C$6),0)</f>
        <v>0</v>
      </c>
      <c r="X27" s="192">
        <f>IF(AND(X$6&gt;=Assumptions!$L$16,X$6&lt;=Assumptions!$M$16),(Assumptions!$J$16)*(1+Assumptions!$K$16)^(X$6-$C$6),0)</f>
        <v>0</v>
      </c>
      <c r="Y27" s="192">
        <f>IF(AND(Y$6&gt;=Assumptions!$L$16,Y$6&lt;=Assumptions!$M$16),(Assumptions!$J$16)*(1+Assumptions!$K$16)^(Y$6-$C$6),0)</f>
        <v>0</v>
      </c>
      <c r="Z27" s="192">
        <f>IF(AND(Z$6&gt;=Assumptions!$L$16,Z$6&lt;=Assumptions!$M$16),(Assumptions!$J$16)*(1+Assumptions!$K$16)^(Z$6-$C$6),0)</f>
        <v>0</v>
      </c>
      <c r="AA27" s="192">
        <f>IF(AND(AA$6&gt;=Assumptions!$L$16,AA$6&lt;=Assumptions!$M$16),(Assumptions!$J$16)*(1+Assumptions!$K$16)^(AA$6-$C$6),0)</f>
        <v>0</v>
      </c>
      <c r="AB27" s="174"/>
      <c r="AC27" s="174"/>
      <c r="AD27" s="174"/>
    </row>
    <row r="28" spans="1:30" ht="15.75" customHeight="1" x14ac:dyDescent="0.25">
      <c r="A28" s="193" t="s">
        <v>135</v>
      </c>
      <c r="B28" s="177"/>
      <c r="C28" s="192">
        <f>(Assumptions!$J$17)*IF(AND(C$6&gt;=Assumptions!$L$17,C$6&lt;=Assumptions!$M$17),(1+Assumptions!$K$17)^(C$6-(Assumptions!$L$17-1)),0)</f>
        <v>198</v>
      </c>
      <c r="D28" s="192">
        <f>(Assumptions!$J$17)*IF(AND(D$6&gt;=Assumptions!$L$17,D$6&lt;=Assumptions!$M$17),(1+Assumptions!$K$17)^(D$6-(Assumptions!$L$17-1)),0)</f>
        <v>196.01999999999998</v>
      </c>
      <c r="E28" s="192">
        <f>(Assumptions!$J$17)*IF(AND(E$6&gt;=Assumptions!$L$17,E$6&lt;=Assumptions!$M$17),(1+Assumptions!$K$17)^(E$6-(Assumptions!$L$17-1)),0)</f>
        <v>194.0598</v>
      </c>
      <c r="F28" s="192">
        <f>(Assumptions!$J$17)*IF(AND(F$6&gt;=Assumptions!$L$17,F$6&lt;=Assumptions!$M$17),(1+Assumptions!$K$17)^(F$6-(Assumptions!$L$17-1)),0)</f>
        <v>192.119202</v>
      </c>
      <c r="G28" s="192">
        <f>(Assumptions!$J$17)*IF(AND(G$6&gt;=Assumptions!$L$17,G$6&lt;=Assumptions!$M$17),(1+Assumptions!$K$17)^(G$6-(Assumptions!$L$17-1)),0)</f>
        <v>190.19800997999999</v>
      </c>
      <c r="H28" s="192">
        <f>(Assumptions!$J$17)*IF(AND(H$6&gt;=Assumptions!$L$17,H$6&lt;=Assumptions!$M$17),(1+Assumptions!$K$17)^(H$6-(Assumptions!$L$17-1)),0)</f>
        <v>188.29602988019997</v>
      </c>
      <c r="I28" s="192">
        <f>(Assumptions!$J$17)*IF(AND(I$6&gt;=Assumptions!$L$17,I$6&lt;=Assumptions!$M$17),(1+Assumptions!$K$17)^(I$6-(Assumptions!$L$17-1)),0)</f>
        <v>186.41306958139799</v>
      </c>
      <c r="J28" s="192">
        <f>(Assumptions!$J$17)*IF(AND(J$6&gt;=Assumptions!$L$17,J$6&lt;=Assumptions!$M$17),(1+Assumptions!$K$17)^(J$6-(Assumptions!$L$17-1)),0)</f>
        <v>184.54893888558399</v>
      </c>
      <c r="K28" s="192">
        <f>(Assumptions!$J$17)*IF(AND(K$6&gt;=Assumptions!$L$17,K$6&lt;=Assumptions!$M$17),(1+Assumptions!$K$17)^(K$6-(Assumptions!$L$17-1)),0)</f>
        <v>182.70344949672815</v>
      </c>
      <c r="L28" s="192">
        <f>(Assumptions!$J$17)*IF(AND(L$6&gt;=Assumptions!$L$17,L$6&lt;=Assumptions!$M$17),(1+Assumptions!$K$17)^(L$6-(Assumptions!$L$17-1)),0)</f>
        <v>180.87641500176085</v>
      </c>
      <c r="M28" s="192">
        <f>(Assumptions!$J$17)*IF(AND(M$6&gt;=Assumptions!$L$17,M$6&lt;=Assumptions!$M$17),(1+Assumptions!$K$17)^(M$6-(Assumptions!$L$17-1)),0)</f>
        <v>179.06765085174325</v>
      </c>
      <c r="N28" s="192">
        <f>(Assumptions!$J$17)*IF(AND(N$6&gt;=Assumptions!$L$17,N$6&lt;=Assumptions!$M$17),(1+Assumptions!$K$17)^(N$6-(Assumptions!$L$17-1)),0)</f>
        <v>177.27697434322582</v>
      </c>
      <c r="O28" s="192">
        <f>(Assumptions!$J$17)*IF(AND(O$6&gt;=Assumptions!$L$17,O$6&lt;=Assumptions!$M$17),(1+Assumptions!$K$17)^(O$6-(Assumptions!$L$17-1)),0)</f>
        <v>175.50420459979355</v>
      </c>
      <c r="P28" s="192">
        <f>(Assumptions!$J$17)*IF(AND(P$6&gt;=Assumptions!$L$17,P$6&lt;=Assumptions!$M$17),(1+Assumptions!$K$17)^(P$6-(Assumptions!$L$17-1)),0)</f>
        <v>173.74916255379563</v>
      </c>
      <c r="Q28" s="192">
        <f>(Assumptions!$J$17)*IF(AND(Q$6&gt;=Assumptions!$L$17,Q$6&lt;=Assumptions!$M$17),(1+Assumptions!$K$17)^(Q$6-(Assumptions!$L$17-1)),0)</f>
        <v>172.01167092825767</v>
      </c>
      <c r="R28" s="192">
        <f>(Assumptions!$J$17)*IF(AND(R$6&gt;=Assumptions!$L$17,R$6&lt;=Assumptions!$M$17),(1+Assumptions!$K$17)^(R$6-(Assumptions!$L$17-1)),0)</f>
        <v>170.29155421897508</v>
      </c>
      <c r="S28" s="192">
        <f>(Assumptions!$J$17)*IF(AND(S$6&gt;=Assumptions!$L$17,S$6&lt;=Assumptions!$M$17),(1+Assumptions!$K$17)^(S$6-(Assumptions!$L$17-1)),0)</f>
        <v>168.58863867678534</v>
      </c>
      <c r="T28" s="192">
        <f>(Assumptions!$J$17)*IF(AND(T$6&gt;=Assumptions!$L$17,T$6&lt;=Assumptions!$M$17),(1+Assumptions!$K$17)^(T$6-(Assumptions!$L$17-1)),0)</f>
        <v>166.90275229001747</v>
      </c>
      <c r="U28" s="192">
        <f>(Assumptions!$J$17)*IF(AND(U$6&gt;=Assumptions!$L$17,U$6&lt;=Assumptions!$M$17),(1+Assumptions!$K$17)^(U$6-(Assumptions!$L$17-1)),0)</f>
        <v>165.23372476711728</v>
      </c>
      <c r="V28" s="192">
        <f>(Assumptions!$J$17)*IF(AND(V$6&gt;=Assumptions!$L$17,V$6&lt;=Assumptions!$M$17),(1+Assumptions!$K$17)^(V$6-(Assumptions!$L$17-1)),0)</f>
        <v>163.58138751944614</v>
      </c>
      <c r="W28" s="192">
        <f>(Assumptions!$J$17)*IF(AND(W$6&gt;=Assumptions!$L$17,W$6&lt;=Assumptions!$M$17),(1+Assumptions!$K$17)^(W$6-(Assumptions!$L$17-1)),0)</f>
        <v>0</v>
      </c>
      <c r="X28" s="192">
        <f>(Assumptions!$J$17)*IF(AND(X$6&gt;=Assumptions!$L$17,X$6&lt;=Assumptions!$M$17),(1+Assumptions!$K$17)^(X$6-(Assumptions!$L$17-1)),0)</f>
        <v>0</v>
      </c>
      <c r="Y28" s="192">
        <f>(Assumptions!$J$17)*IF(AND(Y$6&gt;=Assumptions!$L$17,Y$6&lt;=Assumptions!$M$17),(1+Assumptions!$K$17)^(Y$6-(Assumptions!$L$17-1)),0)</f>
        <v>0</v>
      </c>
      <c r="Z28" s="192">
        <f>(Assumptions!$J$17)*IF(AND(Z$6&gt;=Assumptions!$L$17,Z$6&lt;=Assumptions!$M$17),(1+Assumptions!$K$17)^(Z$6-(Assumptions!$L$17-1)),0)</f>
        <v>0</v>
      </c>
      <c r="AA28" s="192">
        <f>(Assumptions!$J$17)*IF(AND(AA$6&gt;=Assumptions!$L$17,AA$6&lt;=Assumptions!$M$17),(1+Assumptions!$K$17)^(AA$6-(Assumptions!$L$17-1)),0)</f>
        <v>0</v>
      </c>
      <c r="AB28" s="207"/>
      <c r="AC28" s="174"/>
      <c r="AD28" s="174"/>
    </row>
    <row r="29" spans="1:30" ht="15.75" customHeight="1" x14ac:dyDescent="0.25">
      <c r="A29" s="193" t="s">
        <v>134</v>
      </c>
      <c r="B29" s="177"/>
      <c r="C29" s="192">
        <f>IF(AND(C$6&gt;=Assumptions!$L$18,C$6&lt;=Assumptions!$M$18),(Assumptions!$J$18)*(1+Assumptions!$K$18)^(C$6-$C$6),0)</f>
        <v>328</v>
      </c>
      <c r="D29" s="192">
        <f>IF(AND(D$6&gt;=Assumptions!$L$18,D$6&lt;=Assumptions!$M$18),(Assumptions!$J$18)*(1+Assumptions!$K$18)^(D$6-$C$6),0)</f>
        <v>334.56</v>
      </c>
      <c r="E29" s="192">
        <f>IF(AND(E$6&gt;=Assumptions!$L$18,E$6&lt;=Assumptions!$M$18),(Assumptions!$J$18)*(1+Assumptions!$K$18)^(E$6-$C$6),0)</f>
        <v>341.25119999999998</v>
      </c>
      <c r="F29" s="192">
        <f>IF(AND(F$6&gt;=Assumptions!$L$18,F$6&lt;=Assumptions!$M$18),(Assumptions!$J$18)*(1+Assumptions!$K$18)^(F$6-$C$6),0)</f>
        <v>348.07622399999997</v>
      </c>
      <c r="G29" s="192">
        <f>IF(AND(G$6&gt;=Assumptions!$L$18,G$6&lt;=Assumptions!$M$18),(Assumptions!$J$18)*(1+Assumptions!$K$18)^(G$6-$C$6),0)</f>
        <v>355.03774848</v>
      </c>
      <c r="H29" s="192">
        <f>IF(AND(H$6&gt;=Assumptions!$L$18,H$6&lt;=Assumptions!$M$18),(Assumptions!$J$18)*(1+Assumptions!$K$18)^(H$6-$C$6),0)</f>
        <v>362.13850344960002</v>
      </c>
      <c r="I29" s="192">
        <f>IF(AND(I$6&gt;=Assumptions!$L$18,I$6&lt;=Assumptions!$M$18),(Assumptions!$J$18)*(1+Assumptions!$K$18)^(I$6-$C$6),0)</f>
        <v>369.38127351859202</v>
      </c>
      <c r="J29" s="192">
        <f>IF(AND(J$6&gt;=Assumptions!$L$18,J$6&lt;=Assumptions!$M$18),(Assumptions!$J$18)*(1+Assumptions!$K$18)^(J$6-$C$6),0)</f>
        <v>376.76889898896377</v>
      </c>
      <c r="K29" s="192">
        <f>IF(AND(K$6&gt;=Assumptions!$L$18,K$6&lt;=Assumptions!$M$18),(Assumptions!$J$18)*(1+Assumptions!$K$18)^(K$6-$C$6),0)</f>
        <v>384.30427696874307</v>
      </c>
      <c r="L29" s="192">
        <f>IF(AND(L$6&gt;=Assumptions!$L$18,L$6&lt;=Assumptions!$M$18),(Assumptions!$J$18)*(1+Assumptions!$K$18)^(L$6-$C$6),0)</f>
        <v>391.99036250811798</v>
      </c>
      <c r="M29" s="192">
        <f>IF(AND(M$6&gt;=Assumptions!$L$18,M$6&lt;=Assumptions!$M$18),(Assumptions!$J$18)*(1+Assumptions!$K$18)^(M$6-$C$6),0)</f>
        <v>399.83016975828031</v>
      </c>
      <c r="N29" s="192">
        <f>IF(AND(N$6&gt;=Assumptions!$L$18,N$6&lt;=Assumptions!$M$18),(Assumptions!$J$18)*(1+Assumptions!$K$18)^(N$6-$C$6),0)</f>
        <v>407.82677315344586</v>
      </c>
      <c r="O29" s="192">
        <f>IF(AND(O$6&gt;=Assumptions!$L$18,O$6&lt;=Assumptions!$M$18),(Assumptions!$J$18)*(1+Assumptions!$K$18)^(O$6-$C$6),0)</f>
        <v>415.98330861651482</v>
      </c>
      <c r="P29" s="192">
        <f>IF(AND(P$6&gt;=Assumptions!$L$18,P$6&lt;=Assumptions!$M$18),(Assumptions!$J$18)*(1+Assumptions!$K$18)^(P$6-$C$6),0)</f>
        <v>424.30297478884512</v>
      </c>
      <c r="Q29" s="192">
        <f>IF(AND(Q$6&gt;=Assumptions!$L$18,Q$6&lt;=Assumptions!$M$18),(Assumptions!$J$18)*(1+Assumptions!$K$18)^(Q$6-$C$6),0)</f>
        <v>432.78903428462206</v>
      </c>
      <c r="R29" s="192">
        <f>IF(AND(R$6&gt;=Assumptions!$L$18,R$6&lt;=Assumptions!$M$18),(Assumptions!$J$18)*(1+Assumptions!$K$18)^(R$6-$C$6),0)</f>
        <v>441.44481497031438</v>
      </c>
      <c r="S29" s="192">
        <f>IF(AND(S$6&gt;=Assumptions!$L$18,S$6&lt;=Assumptions!$M$18),(Assumptions!$J$18)*(1+Assumptions!$K$18)^(S$6-$C$6),0)</f>
        <v>450.27371126972076</v>
      </c>
      <c r="T29" s="192">
        <f>IF(AND(T$6&gt;=Assumptions!$L$18,T$6&lt;=Assumptions!$M$18),(Assumptions!$J$18)*(1+Assumptions!$K$18)^(T$6-$C$6),0)</f>
        <v>459.2791854951152</v>
      </c>
      <c r="U29" s="192">
        <f>IF(AND(U$6&gt;=Assumptions!$L$18,U$6&lt;=Assumptions!$M$18),(Assumptions!$J$18)*(1+Assumptions!$K$18)^(U$6-$C$6),0)</f>
        <v>468.46476920501743</v>
      </c>
      <c r="V29" s="192">
        <f>IF(AND(V$6&gt;=Assumptions!$L$18,V$6&lt;=Assumptions!$M$18),(Assumptions!$J$18)*(1+Assumptions!$K$18)^(V$6-$C$6),0)</f>
        <v>477.83406458911776</v>
      </c>
      <c r="W29" s="192">
        <f>IF(AND(W$6&gt;=Assumptions!$L$18,W$6&lt;=Assumptions!$M$18),(Assumptions!$J$18)*(1+Assumptions!$K$18)^(W$6-$C$6),0)</f>
        <v>0</v>
      </c>
      <c r="X29" s="192">
        <f>IF(AND(X$6&gt;=Assumptions!$L$18,X$6&lt;=Assumptions!$M$18),(Assumptions!$J$18)*(1+Assumptions!$K$18)^(X$6-$C$6),0)</f>
        <v>0</v>
      </c>
      <c r="Y29" s="192">
        <f>IF(AND(Y$6&gt;=Assumptions!$L$18,Y$6&lt;=Assumptions!$M$18),(Assumptions!$J$18)*(1+Assumptions!$K$18)^(Y$6-$C$6),0)</f>
        <v>0</v>
      </c>
      <c r="Z29" s="192">
        <f>IF(AND(Z$6&gt;=Assumptions!$L$18,Z$6&lt;=Assumptions!$M$18),(Assumptions!$J$18)*(1+Assumptions!$K$18)^(Z$6-$C$6),0)</f>
        <v>0</v>
      </c>
      <c r="AA29" s="192">
        <f>IF(AND(AA$6&gt;=Assumptions!$L$18,AA$6&lt;=Assumptions!$M$18),(Assumptions!$J$18)*(1+Assumptions!$K$18)^(AA$6-$C$6),0)</f>
        <v>0</v>
      </c>
      <c r="AB29" s="174"/>
      <c r="AC29" s="174"/>
      <c r="AD29" s="174"/>
    </row>
    <row r="30" spans="1:30" ht="15.75" customHeight="1" x14ac:dyDescent="0.25">
      <c r="A30" s="193" t="s">
        <v>133</v>
      </c>
      <c r="B30" s="177"/>
      <c r="C30" s="192">
        <f>IF(AND(C$6&gt;=Assumptions!$L$19,C$6&lt;=Assumptions!$M$19),(Assumptions!$J$19)*(1+Assumptions!$K$19)^(C$6-$C$6),0)</f>
        <v>0</v>
      </c>
      <c r="D30" s="192">
        <f>IF(AND(D$6&gt;=Assumptions!$L$19,D$6&lt;=Assumptions!$M$19),(Assumptions!$J$19)*(1+Assumptions!$K$19)^(D$6-$C$6),0)</f>
        <v>0</v>
      </c>
      <c r="E30" s="192">
        <f>IF(AND(E$6&gt;=Assumptions!$L$19,E$6&lt;=Assumptions!$M$19),(Assumptions!$J$19)*(1+Assumptions!$K$19)^(E$6-$C$6),0)</f>
        <v>0</v>
      </c>
      <c r="F30" s="192">
        <f>IF(AND(F$6&gt;=Assumptions!$L$19,F$6&lt;=Assumptions!$M$19),(Assumptions!$J$19)*(1+Assumptions!$K$19)^(F$6-$C$6),0)</f>
        <v>0</v>
      </c>
      <c r="G30" s="192">
        <f>IF(AND(G$6&gt;=Assumptions!$L$19,G$6&lt;=Assumptions!$M$19),(Assumptions!$J$19)*(1+Assumptions!$K$19)^(G$6-$C$6),0)</f>
        <v>0</v>
      </c>
      <c r="H30" s="192">
        <f>IF(AND(H$6&gt;=Assumptions!$L$19,H$6&lt;=Assumptions!$M$19),(Assumptions!$J$19)*(1+Assumptions!$K$19)^(H$6-$C$6),0)</f>
        <v>0</v>
      </c>
      <c r="I30" s="192">
        <f>IF(AND(I$6&gt;=Assumptions!$L$19,I$6&lt;=Assumptions!$M$19),(Assumptions!$J$19)*(1+Assumptions!$K$19)^(I$6-$C$6),0)</f>
        <v>0</v>
      </c>
      <c r="J30" s="192">
        <f>IF(AND(J$6&gt;=Assumptions!$L$19,J$6&lt;=Assumptions!$M$19),(Assumptions!$J$19)*(1+Assumptions!$K$19)^(J$6-$C$6),0)</f>
        <v>0</v>
      </c>
      <c r="K30" s="192">
        <f>IF(AND(K$6&gt;=Assumptions!$L$19,K$6&lt;=Assumptions!$M$19),(Assumptions!$J$19)*(1+Assumptions!$K$19)^(K$6-$C$6),0)</f>
        <v>0</v>
      </c>
      <c r="L30" s="192">
        <f>IF(AND(L$6&gt;=Assumptions!$L$19,L$6&lt;=Assumptions!$M$19),(Assumptions!$J$19)*(1+Assumptions!$K$19)^(L$6-$C$6),0)</f>
        <v>0</v>
      </c>
      <c r="M30" s="192">
        <f>IF(AND(M$6&gt;=Assumptions!$L$19,M$6&lt;=Assumptions!$M$19),(Assumptions!$J$19)*(1+Assumptions!$K$19)^(M$6-$C$6),0)</f>
        <v>0</v>
      </c>
      <c r="N30" s="192">
        <f>IF(AND(N$6&gt;=Assumptions!$L$19,N$6&lt;=Assumptions!$M$19),(Assumptions!$J$19)*(1+Assumptions!$K$19)^(N$6-$C$6),0)</f>
        <v>0</v>
      </c>
      <c r="O30" s="192">
        <f>IF(AND(O$6&gt;=Assumptions!$L$19,O$6&lt;=Assumptions!$M$19),(Assumptions!$J$19)*(1+Assumptions!$K$19)^(O$6-$C$6),0)</f>
        <v>0</v>
      </c>
      <c r="P30" s="192">
        <f>IF(AND(P$6&gt;=Assumptions!$L$19,P$6&lt;=Assumptions!$M$19),(Assumptions!$J$19)*(1+Assumptions!$K$19)^(P$6-$C$6),0)</f>
        <v>0</v>
      </c>
      <c r="Q30" s="192">
        <f>IF(AND(Q$6&gt;=Assumptions!$L$19,Q$6&lt;=Assumptions!$M$19),(Assumptions!$J$19)*(1+Assumptions!$K$19)^(Q$6-$C$6),0)</f>
        <v>0</v>
      </c>
      <c r="R30" s="192">
        <f>IF(AND(R$6&gt;=Assumptions!$L$19,R$6&lt;=Assumptions!$M$19),(Assumptions!$J$19)*(1+Assumptions!$K$19)^(R$6-$C$6),0)</f>
        <v>0</v>
      </c>
      <c r="S30" s="192">
        <f>IF(AND(S$6&gt;=Assumptions!$L$19,S$6&lt;=Assumptions!$M$19),(Assumptions!$J$19)*(1+Assumptions!$K$19)^(S$6-$C$6),0)</f>
        <v>0</v>
      </c>
      <c r="T30" s="192">
        <f>IF(AND(T$6&gt;=Assumptions!$L$19,T$6&lt;=Assumptions!$M$19),(Assumptions!$J$19)*(1+Assumptions!$K$19)^(T$6-$C$6),0)</f>
        <v>0</v>
      </c>
      <c r="U30" s="192">
        <f>IF(AND(U$6&gt;=Assumptions!$L$19,U$6&lt;=Assumptions!$M$19),(Assumptions!$J$19)*(1+Assumptions!$K$19)^(U$6-$C$6),0)</f>
        <v>0</v>
      </c>
      <c r="V30" s="192">
        <f>IF(AND(V$6&gt;=Assumptions!$L$19,V$6&lt;=Assumptions!$M$19),(Assumptions!$J$19)*(1+Assumptions!$K$19)^(V$6-$C$6),0)</f>
        <v>0</v>
      </c>
      <c r="W30" s="192">
        <f>IF(AND(W$6&gt;=Assumptions!$L$19,W$6&lt;=Assumptions!$M$19),(Assumptions!$J$19)*(1+Assumptions!$K$19)^(W$6-$C$6),0)</f>
        <v>0</v>
      </c>
      <c r="X30" s="192">
        <f>IF(AND(X$6&gt;=Assumptions!$L$19,X$6&lt;=Assumptions!$M$19),(Assumptions!$J$19)*(1+Assumptions!$K$19)^(X$6-$C$6),0)</f>
        <v>0</v>
      </c>
      <c r="Y30" s="192">
        <f>IF(AND(Y$6&gt;=Assumptions!$L$19,Y$6&lt;=Assumptions!$M$19),(Assumptions!$J$19)*(1+Assumptions!$K$19)^(Y$6-$C$6),0)</f>
        <v>0</v>
      </c>
      <c r="Z30" s="192">
        <f>IF(AND(Z$6&gt;=Assumptions!$L$19,Z$6&lt;=Assumptions!$M$19),(Assumptions!$J$19)*(1+Assumptions!$K$19)^(Z$6-$C$6),0)</f>
        <v>0</v>
      </c>
      <c r="AA30" s="192">
        <f>IF(AND(AA$6&gt;=Assumptions!$L$19,AA$6&lt;=Assumptions!$M$19),(Assumptions!$J$19)*(1+Assumptions!$K$19)^(AA$6-$C$6),0)</f>
        <v>0</v>
      </c>
      <c r="AB30" s="174"/>
      <c r="AC30" s="174"/>
      <c r="AD30" s="174"/>
    </row>
    <row r="31" spans="1:30" ht="15.75" customHeight="1" x14ac:dyDescent="0.25">
      <c r="A31" s="193" t="s">
        <v>132</v>
      </c>
      <c r="B31" s="177"/>
      <c r="C31" s="192">
        <f>IF(AND(C$6&gt;=Assumptions!$L$20,C$6&lt;=Assumptions!$M$20),(Assumptions!$J$20*C$12)*(1+Assumptions!$K$20)^(C$6-$C$6),0)</f>
        <v>0</v>
      </c>
      <c r="D31" s="192">
        <f>IF(AND(D$6&gt;=Assumptions!$L$20,D$6&lt;=Assumptions!$M$20),(Assumptions!$J$20*D$12)*(1+Assumptions!$K$20)^(D$6-$C$6),0)</f>
        <v>0</v>
      </c>
      <c r="E31" s="192">
        <f>IF(AND(E$6&gt;=Assumptions!$L$20,E$6&lt;=Assumptions!$M$20),(Assumptions!$J$20*E$12)*(1+Assumptions!$K$20)^(E$6-$C$6),0)</f>
        <v>0</v>
      </c>
      <c r="F31" s="192">
        <f>IF(AND(F$6&gt;=Assumptions!$L$20,F$6&lt;=Assumptions!$M$20),(Assumptions!$J$20*F$12)*(1+Assumptions!$K$20)^(F$6-$C$6),0)</f>
        <v>0</v>
      </c>
      <c r="G31" s="192">
        <f>IF(AND(G$6&gt;=Assumptions!$L$20,G$6&lt;=Assumptions!$M$20),(Assumptions!$J$20*G$12)*(1+Assumptions!$K$20)^(G$6-$C$6),0)</f>
        <v>0</v>
      </c>
      <c r="H31" s="192">
        <f>IF(AND(H$6&gt;=Assumptions!$L$20,H$6&lt;=Assumptions!$M$20),(Assumptions!$J$20*H$12)*(1+Assumptions!$K$20)^(H$6-$C$6),0)</f>
        <v>0</v>
      </c>
      <c r="I31" s="192">
        <f>IF(AND(I$6&gt;=Assumptions!$L$20,I$6&lt;=Assumptions!$M$20),(Assumptions!$J$20*I$12)*(1+Assumptions!$K$20)^(I$6-$C$6),0)</f>
        <v>0</v>
      </c>
      <c r="J31" s="192">
        <f>IF(AND(J$6&gt;=Assumptions!$L$20,J$6&lt;=Assumptions!$M$20),(Assumptions!$J$20*J$12)*(1+Assumptions!$K$20)^(J$6-$C$6),0)</f>
        <v>0</v>
      </c>
      <c r="K31" s="192">
        <f>IF(AND(K$6&gt;=Assumptions!$L$20,K$6&lt;=Assumptions!$M$20),(Assumptions!$J$20*K$12)*(1+Assumptions!$K$20)^(K$6-$C$6),0)</f>
        <v>0</v>
      </c>
      <c r="L31" s="192">
        <f>IF(AND(L$6&gt;=Assumptions!$L$20,L$6&lt;=Assumptions!$M$20),(Assumptions!$J$20*L$12)*(1+Assumptions!$K$20)^(L$6-$C$6),0)</f>
        <v>0</v>
      </c>
      <c r="M31" s="192">
        <f>IF(AND(M$6&gt;=Assumptions!$L$20,M$6&lt;=Assumptions!$M$20),(Assumptions!$J$20*M$12)*(1+Assumptions!$K$20)^(M$6-$C$6),0)</f>
        <v>0</v>
      </c>
      <c r="N31" s="192">
        <f>IF(AND(N$6&gt;=Assumptions!$L$20,N$6&lt;=Assumptions!$M$20),(Assumptions!$J$20*N$12)*(1+Assumptions!$K$20)^(N$6-$C$6),0)</f>
        <v>0</v>
      </c>
      <c r="O31" s="192">
        <f>IF(AND(O$6&gt;=Assumptions!$L$20,O$6&lt;=Assumptions!$M$20),(Assumptions!$J$20*O$12)*(1+Assumptions!$K$20)^(O$6-$C$6),0)</f>
        <v>0</v>
      </c>
      <c r="P31" s="192">
        <f>IF(AND(P$6&gt;=Assumptions!$L$20,P$6&lt;=Assumptions!$M$20),(Assumptions!$J$20*P$12)*(1+Assumptions!$K$20)^(P$6-$C$6),0)</f>
        <v>0</v>
      </c>
      <c r="Q31" s="192">
        <f>IF(AND(Q$6&gt;=Assumptions!$L$20,Q$6&lt;=Assumptions!$M$20),(Assumptions!$J$20*Q$12)*(1+Assumptions!$K$20)^(Q$6-$C$6),0)</f>
        <v>0</v>
      </c>
      <c r="R31" s="192">
        <f>IF(AND(R$6&gt;=Assumptions!$L$20,R$6&lt;=Assumptions!$M$20),(Assumptions!$J$20*R$12)*(1+Assumptions!$K$20)^(R$6-$C$6),0)</f>
        <v>0</v>
      </c>
      <c r="S31" s="192">
        <f>IF(AND(S$6&gt;=Assumptions!$L$20,S$6&lt;=Assumptions!$M$20),(Assumptions!$J$20*S$12)*(1+Assumptions!$K$20)^(S$6-$C$6),0)</f>
        <v>0</v>
      </c>
      <c r="T31" s="192">
        <f>IF(AND(T$6&gt;=Assumptions!$L$20,T$6&lt;=Assumptions!$M$20),(Assumptions!$J$20*T$12)*(1+Assumptions!$K$20)^(T$6-$C$6),0)</f>
        <v>0</v>
      </c>
      <c r="U31" s="192">
        <f>IF(AND(U$6&gt;=Assumptions!$L$20,U$6&lt;=Assumptions!$M$20),(Assumptions!$J$20*U$12)*(1+Assumptions!$K$20)^(U$6-$C$6),0)</f>
        <v>0</v>
      </c>
      <c r="V31" s="192">
        <f>IF(AND(V$6&gt;=Assumptions!$L$20,V$6&lt;=Assumptions!$M$20),(Assumptions!$J$20*V$12)*(1+Assumptions!$K$20)^(V$6-$C$6),0)</f>
        <v>0</v>
      </c>
      <c r="W31" s="192">
        <f>IF(AND(W$6&gt;=Assumptions!$L$20,W$6&lt;=Assumptions!$M$20),(Assumptions!$J$20*W$12)*(1+Assumptions!$K$20)^(W$6-$C$6),0)</f>
        <v>0</v>
      </c>
      <c r="X31" s="192">
        <f>IF(AND(X$6&gt;=Assumptions!$L$20,X$6&lt;=Assumptions!$M$20),(Assumptions!$J$20*X$12)*(1+Assumptions!$K$20)^(X$6-$C$6),0)</f>
        <v>0</v>
      </c>
      <c r="Y31" s="192">
        <f>IF(AND(Y$6&gt;=Assumptions!$L$20,Y$6&lt;=Assumptions!$M$20),(Assumptions!$J$20*Y$12)*(1+Assumptions!$K$20)^(Y$6-$C$6),0)</f>
        <v>0</v>
      </c>
      <c r="Z31" s="192">
        <f>IF(AND(Z$6&gt;=Assumptions!$L$20,Z$6&lt;=Assumptions!$M$20),(Assumptions!$J$20*Z$12)*(1+Assumptions!$K$20)^(Z$6-$C$6),0)</f>
        <v>0</v>
      </c>
      <c r="AA31" s="192">
        <f>IF(AND(AA$6&gt;=Assumptions!$L$20,AA$6&lt;=Assumptions!$M$20),(Assumptions!$J$20*AA$12)*(1+Assumptions!$K$20)^(AA$6-$C$6),0)</f>
        <v>0</v>
      </c>
      <c r="AB31" s="174"/>
      <c r="AC31" s="174"/>
      <c r="AD31" s="174"/>
    </row>
    <row r="32" spans="1:30" ht="15.75" customHeight="1" x14ac:dyDescent="0.25">
      <c r="A32" s="193" t="s">
        <v>77</v>
      </c>
      <c r="B32" s="177"/>
      <c r="C32" s="192">
        <f>IF(AND(C$6&gt;=Assumptions!$L$21,C$6&lt;=Assumptions!$M$21),(Assumptions!$J$21)*(1+Assumptions!$K$21)^(C$6-$C$6),0)</f>
        <v>0</v>
      </c>
      <c r="D32" s="192">
        <f>IF(AND(D$6&gt;=Assumptions!$L$21,D$6&lt;=Assumptions!$M$21),(Assumptions!$J$21)*(1+Assumptions!$K$21)^(D$6-$C$6),0)</f>
        <v>0</v>
      </c>
      <c r="E32" s="192">
        <f>IF(AND(E$6&gt;=Assumptions!$L$21,E$6&lt;=Assumptions!$M$21),(Assumptions!$J$21)*(1+Assumptions!$K$21)^(E$6-$C$6),0)</f>
        <v>0</v>
      </c>
      <c r="F32" s="192">
        <f>IF(AND(F$6&gt;=Assumptions!$L$21,F$6&lt;=Assumptions!$M$21),(Assumptions!$J$21)*(1+Assumptions!$K$21)^(F$6-$C$6),0)</f>
        <v>0</v>
      </c>
      <c r="G32" s="192">
        <f>IF(AND(G$6&gt;=Assumptions!$L$21,G$6&lt;=Assumptions!$M$21),(Assumptions!$J$21)*(1+Assumptions!$K$21)^(G$6-$C$6),0)</f>
        <v>0</v>
      </c>
      <c r="H32" s="192">
        <f>IF(AND(H$6&gt;=Assumptions!$L$21,H$6&lt;=Assumptions!$M$21),(Assumptions!$J$21)*(1+Assumptions!$K$21)^(H$6-$C$6),0)</f>
        <v>0</v>
      </c>
      <c r="I32" s="192">
        <f>IF(AND(I$6&gt;=Assumptions!$L$21,I$6&lt;=Assumptions!$M$21),(Assumptions!$J$21)*(1+Assumptions!$K$21)^(I$6-$C$6),0)</f>
        <v>0</v>
      </c>
      <c r="J32" s="192">
        <f>IF(AND(J$6&gt;=Assumptions!$L$21,J$6&lt;=Assumptions!$M$21),(Assumptions!$J$21)*(1+Assumptions!$K$21)^(J$6-$C$6),0)</f>
        <v>0</v>
      </c>
      <c r="K32" s="192">
        <f>IF(AND(K$6&gt;=Assumptions!$L$21,K$6&lt;=Assumptions!$M$21),(Assumptions!$J$21)*(1+Assumptions!$K$21)^(K$6-$C$6),0)</f>
        <v>0</v>
      </c>
      <c r="L32" s="192">
        <f>IF(AND(L$6&gt;=Assumptions!$L$21,L$6&lt;=Assumptions!$M$21),(Assumptions!$J$21)*(1+Assumptions!$K$21)^(L$6-$C$6),0)</f>
        <v>0</v>
      </c>
      <c r="M32" s="192">
        <f>IF(AND(M$6&gt;=Assumptions!$L$21,M$6&lt;=Assumptions!$M$21),(Assumptions!$J$21)*(1+Assumptions!$K$21)^(M$6-$C$6),0)</f>
        <v>0</v>
      </c>
      <c r="N32" s="192">
        <f>IF(AND(N$6&gt;=Assumptions!$L$21,N$6&lt;=Assumptions!$M$21),(Assumptions!$J$21)*(1+Assumptions!$K$21)^(N$6-$C$6),0)</f>
        <v>0</v>
      </c>
      <c r="O32" s="192">
        <f>IF(AND(O$6&gt;=Assumptions!$L$21,O$6&lt;=Assumptions!$M$21),(Assumptions!$J$21)*(1+Assumptions!$K$21)^(O$6-$C$6),0)</f>
        <v>0</v>
      </c>
      <c r="P32" s="192">
        <f>IF(AND(P$6&gt;=Assumptions!$L$21,P$6&lt;=Assumptions!$M$21),(Assumptions!$J$21)*(1+Assumptions!$K$21)^(P$6-$C$6),0)</f>
        <v>0</v>
      </c>
      <c r="Q32" s="192">
        <f>IF(AND(Q$6&gt;=Assumptions!$L$21,Q$6&lt;=Assumptions!$M$21),(Assumptions!$J$21)*(1+Assumptions!$K$21)^(Q$6-$C$6),0)</f>
        <v>0</v>
      </c>
      <c r="R32" s="192">
        <f>IF(AND(R$6&gt;=Assumptions!$L$21,R$6&lt;=Assumptions!$M$21),(Assumptions!$J$21)*(1+Assumptions!$K$21)^(R$6-$C$6),0)</f>
        <v>0</v>
      </c>
      <c r="S32" s="192">
        <f>IF(AND(S$6&gt;=Assumptions!$L$21,S$6&lt;=Assumptions!$M$21),(Assumptions!$J$21)*(1+Assumptions!$K$21)^(S$6-$C$6),0)</f>
        <v>0</v>
      </c>
      <c r="T32" s="192">
        <f>IF(AND(T$6&gt;=Assumptions!$L$21,T$6&lt;=Assumptions!$M$21),(Assumptions!$J$21)*(1+Assumptions!$K$21)^(T$6-$C$6),0)</f>
        <v>0</v>
      </c>
      <c r="U32" s="192">
        <f>IF(AND(U$6&gt;=Assumptions!$L$21,U$6&lt;=Assumptions!$M$21),(Assumptions!$J$21)*(1+Assumptions!$K$21)^(U$6-$C$6),0)</f>
        <v>0</v>
      </c>
      <c r="V32" s="192">
        <f>IF(AND(V$6&gt;=Assumptions!$L$21,V$6&lt;=Assumptions!$M$21),(Assumptions!$J$21)*(1+Assumptions!$K$21)^(V$6-$C$6),0)</f>
        <v>0</v>
      </c>
      <c r="W32" s="192">
        <f>IF(AND(W$6&gt;=Assumptions!$L$21,W$6&lt;=Assumptions!$M$21),(Assumptions!$J$21)*(1+Assumptions!$K$21)^(W$6-$C$6),0)</f>
        <v>0</v>
      </c>
      <c r="X32" s="192">
        <f>IF(AND(X$6&gt;=Assumptions!$L$21,X$6&lt;=Assumptions!$M$21),(Assumptions!$J$21)*(1+Assumptions!$K$21)^(X$6-$C$6),0)</f>
        <v>0</v>
      </c>
      <c r="Y32" s="192">
        <f>IF(AND(Y$6&gt;=Assumptions!$L$21,Y$6&lt;=Assumptions!$M$21),(Assumptions!$J$21)*(1+Assumptions!$K$21)^(Y$6-$C$6),0)</f>
        <v>0</v>
      </c>
      <c r="Z32" s="192">
        <f>IF(AND(Z$6&gt;=Assumptions!$L$21,Z$6&lt;=Assumptions!$M$21),(Assumptions!$J$21)*(1+Assumptions!$K$21)^(Z$6-$C$6),0)</f>
        <v>0</v>
      </c>
      <c r="AA32" s="192">
        <f>IF(AND(AA$6&gt;=Assumptions!$L$21,AA$6&lt;=Assumptions!$M$21),(Assumptions!$J$21)*(1+Assumptions!$K$21)^(AA$6-$C$6),0)</f>
        <v>0</v>
      </c>
      <c r="AB32" s="174"/>
      <c r="AC32" s="174"/>
      <c r="AD32" s="174"/>
    </row>
    <row r="33" spans="1:30" s="96" customFormat="1" ht="15.75" customHeight="1" x14ac:dyDescent="0.25">
      <c r="A33" s="193" t="s">
        <v>75</v>
      </c>
      <c r="B33" s="177"/>
      <c r="C33" s="192">
        <f>IF(AND(C$6&gt;=Assumptions!$L$22,C$6&lt;=Assumptions!$M$22),(Assumptions!$J$22)*(1+Assumptions!$K$22)^(C$6-$C$6),0)</f>
        <v>0</v>
      </c>
      <c r="D33" s="192">
        <f>IF(AND(D$6&gt;=Assumptions!$L$22,D$6&lt;=Assumptions!$M$22),(Assumptions!$J$22)*(1+Assumptions!$K$22)^(D$6-$C$6),0)</f>
        <v>0</v>
      </c>
      <c r="E33" s="192">
        <f>IF(AND(E$6&gt;=Assumptions!$L$22,E$6&lt;=Assumptions!$M$22),(Assumptions!$J$22)*(1+Assumptions!$K$22)^(E$6-$C$6),0)</f>
        <v>0</v>
      </c>
      <c r="F33" s="192">
        <f>IF(AND(F$6&gt;=Assumptions!$L$22,F$6&lt;=Assumptions!$M$22),(Assumptions!$J$22)*(1+Assumptions!$K$22)^(F$6-$C$6),0)</f>
        <v>0</v>
      </c>
      <c r="G33" s="192">
        <f>IF(AND(G$6&gt;=Assumptions!$L$22,G$6&lt;=Assumptions!$M$22),(Assumptions!$J$22)*(1+Assumptions!$K$22)^(G$6-$C$6),0)</f>
        <v>0</v>
      </c>
      <c r="H33" s="192">
        <f>IF(AND(H$6&gt;=Assumptions!$L$22,H$6&lt;=Assumptions!$M$22),(Assumptions!$J$22)*(1+Assumptions!$K$22)^(H$6-$C$6),0)</f>
        <v>0</v>
      </c>
      <c r="I33" s="192">
        <f>IF(AND(I$6&gt;=Assumptions!$L$22,I$6&lt;=Assumptions!$M$22),(Assumptions!$J$22)*(1+Assumptions!$K$22)^(I$6-$C$6),0)</f>
        <v>0</v>
      </c>
      <c r="J33" s="192">
        <f>IF(AND(J$6&gt;=Assumptions!$L$22,J$6&lt;=Assumptions!$M$22),(Assumptions!$J$22)*(1+Assumptions!$K$22)^(J$6-$C$6),0)</f>
        <v>0</v>
      </c>
      <c r="K33" s="192">
        <f>IF(AND(K$6&gt;=Assumptions!$L$22,K$6&lt;=Assumptions!$M$22),(Assumptions!$J$22)*(1+Assumptions!$K$22)^(K$6-$C$6),0)</f>
        <v>0</v>
      </c>
      <c r="L33" s="192">
        <f>IF(AND(L$6&gt;=Assumptions!$L$22,L$6&lt;=Assumptions!$M$22),(Assumptions!$J$22)*(1+Assumptions!$K$22)^(L$6-$C$6),0)</f>
        <v>0</v>
      </c>
      <c r="M33" s="192">
        <f>IF(AND(M$6&gt;=Assumptions!$L$22,M$6&lt;=Assumptions!$M$22),(Assumptions!$J$22)*(1+Assumptions!$K$22)^(M$6-$C$6),0)</f>
        <v>0</v>
      </c>
      <c r="N33" s="192">
        <f>IF(AND(N$6&gt;=Assumptions!$L$22,N$6&lt;=Assumptions!$M$22),(Assumptions!$J$22)*(1+Assumptions!$K$22)^(N$6-$C$6),0)</f>
        <v>0</v>
      </c>
      <c r="O33" s="192">
        <f>IF(AND(O$6&gt;=Assumptions!$L$22,O$6&lt;=Assumptions!$M$22),(Assumptions!$J$22)*(1+Assumptions!$K$22)^(O$6-$C$6),0)</f>
        <v>0</v>
      </c>
      <c r="P33" s="192">
        <f>IF(AND(P$6&gt;=Assumptions!$L$22,P$6&lt;=Assumptions!$M$22),(Assumptions!$J$22)*(1+Assumptions!$K$22)^(P$6-$C$6),0)</f>
        <v>0</v>
      </c>
      <c r="Q33" s="192">
        <f>IF(AND(Q$6&gt;=Assumptions!$L$22,Q$6&lt;=Assumptions!$M$22),(Assumptions!$J$22)*(1+Assumptions!$K$22)^(Q$6-$C$6),0)</f>
        <v>0</v>
      </c>
      <c r="R33" s="192">
        <f>IF(AND(R$6&gt;=Assumptions!$L$22,R$6&lt;=Assumptions!$M$22),(Assumptions!$J$22)*(1+Assumptions!$K$22)^(R$6-$C$6),0)</f>
        <v>0</v>
      </c>
      <c r="S33" s="192">
        <f>IF(AND(S$6&gt;=Assumptions!$L$22,S$6&lt;=Assumptions!$M$22),(Assumptions!$J$22)*(1+Assumptions!$K$22)^(S$6-$C$6),0)</f>
        <v>0</v>
      </c>
      <c r="T33" s="192">
        <f>IF(AND(T$6&gt;=Assumptions!$L$22,T$6&lt;=Assumptions!$M$22),(Assumptions!$J$22)*(1+Assumptions!$K$22)^(T$6-$C$6),0)</f>
        <v>0</v>
      </c>
      <c r="U33" s="192">
        <f>IF(AND(U$6&gt;=Assumptions!$L$22,U$6&lt;=Assumptions!$M$22),(Assumptions!$J$22)*(1+Assumptions!$K$22)^(U$6-$C$6),0)</f>
        <v>0</v>
      </c>
      <c r="V33" s="192">
        <f>IF(AND(V$6&gt;=Assumptions!$L$22,V$6&lt;=Assumptions!$M$22),(Assumptions!$J$22)*(1+Assumptions!$K$22)^(V$6-$C$6),0)</f>
        <v>0</v>
      </c>
      <c r="W33" s="192">
        <f>IF(AND(W$6&gt;=Assumptions!$L$22,W$6&lt;=Assumptions!$M$22),(Assumptions!$J$22)*(1+Assumptions!$K$22)^(W$6-$C$6),0)</f>
        <v>0</v>
      </c>
      <c r="X33" s="192">
        <f>IF(AND(X$6&gt;=Assumptions!$L$22,X$6&lt;=Assumptions!$M$22),(Assumptions!$J$22)*(1+Assumptions!$K$22)^(X$6-$C$6),0)</f>
        <v>0</v>
      </c>
      <c r="Y33" s="192">
        <f>IF(AND(Y$6&gt;=Assumptions!$L$22,Y$6&lt;=Assumptions!$M$22),(Assumptions!$J$22)*(1+Assumptions!$K$22)^(Y$6-$C$6),0)</f>
        <v>0</v>
      </c>
      <c r="Z33" s="192">
        <f>IF(AND(Z$6&gt;=Assumptions!$L$22,Z$6&lt;=Assumptions!$M$22),(Assumptions!$J$22)*(1+Assumptions!$K$22)^(Z$6-$C$6),0)</f>
        <v>0</v>
      </c>
      <c r="AA33" s="192">
        <f>IF(AND(AA$6&gt;=Assumptions!$L$22,AA$6&lt;=Assumptions!$M$22),(Assumptions!$J$22)*(1+Assumptions!$K$22)^(AA$6-$C$6),0)</f>
        <v>0</v>
      </c>
      <c r="AB33" s="33"/>
      <c r="AC33" s="33"/>
      <c r="AD33" s="33"/>
    </row>
    <row r="34" spans="1:30" ht="15.75" customHeight="1" x14ac:dyDescent="0.25">
      <c r="A34" s="204" t="s">
        <v>73</v>
      </c>
      <c r="C34" s="192">
        <f>IF(AND(C$6&gt;=Assumptions!$L$23,C$6&lt;=Assumptions!$M$23),(Assumptions!$J$23)*(1+Assumptions!$K$23)^(C$6-$C$6),0)</f>
        <v>0</v>
      </c>
      <c r="D34" s="192">
        <f>IF(AND(D$6&gt;=Assumptions!$L$23,D$6&lt;=Assumptions!$M$23),(Assumptions!$J$23)*(1+Assumptions!$K$23)^(D$6-$C$6),0)</f>
        <v>0</v>
      </c>
      <c r="E34" s="192">
        <f>IF(AND(E$6&gt;=Assumptions!$L$23,E$6&lt;=Assumptions!$M$23),(Assumptions!$J$23)*(1+Assumptions!$K$23)^(E$6-$C$6),0)</f>
        <v>0</v>
      </c>
      <c r="F34" s="192">
        <f>IF(AND(F$6&gt;=Assumptions!$L$23,F$6&lt;=Assumptions!$M$23),(Assumptions!$J$23)*(1+Assumptions!$K$23)^(F$6-$C$6),0)</f>
        <v>0</v>
      </c>
      <c r="G34" s="192">
        <f>IF(AND(G$6&gt;=Assumptions!$L$23,G$6&lt;=Assumptions!$M$23),(Assumptions!$J$23)*(1+Assumptions!$K$23)^(G$6-$C$6),0)</f>
        <v>0</v>
      </c>
      <c r="H34" s="192">
        <f>IF(AND(H$6&gt;=Assumptions!$L$23,H$6&lt;=Assumptions!$M$23),(Assumptions!$J$23)*(1+Assumptions!$K$23)^(H$6-$C$6),0)</f>
        <v>0</v>
      </c>
      <c r="I34" s="192">
        <f>IF(AND(I$6&gt;=Assumptions!$L$23,I$6&lt;=Assumptions!$M$23),(Assumptions!$J$23)*(1+Assumptions!$K$23)^(I$6-$C$6),0)</f>
        <v>0</v>
      </c>
      <c r="J34" s="192">
        <f>IF(AND(J$6&gt;=Assumptions!$L$23,J$6&lt;=Assumptions!$M$23),(Assumptions!$J$23)*(1+Assumptions!$K$23)^(J$6-$C$6),0)</f>
        <v>0</v>
      </c>
      <c r="K34" s="192">
        <f>IF(AND(K$6&gt;=Assumptions!$L$23,K$6&lt;=Assumptions!$M$23),(Assumptions!$J$23)*(1+Assumptions!$K$23)^(K$6-$C$6),0)</f>
        <v>0</v>
      </c>
      <c r="L34" s="192">
        <f>IF(AND(L$6&gt;=Assumptions!$L$23,L$6&lt;=Assumptions!$M$23),(Assumptions!$J$23)*(1+Assumptions!$K$23)^(L$6-$C$6),0)</f>
        <v>0</v>
      </c>
      <c r="M34" s="192">
        <f>IF(AND(M$6&gt;=Assumptions!$L$23,M$6&lt;=Assumptions!$M$23),(Assumptions!$J$23)*(1+Assumptions!$K$23)^(M$6-$C$6),0)</f>
        <v>0</v>
      </c>
      <c r="N34" s="192">
        <f>IF(AND(N$6&gt;=Assumptions!$L$23,N$6&lt;=Assumptions!$M$23),(Assumptions!$J$23)*(1+Assumptions!$K$23)^(N$6-$C$6),0)</f>
        <v>0</v>
      </c>
      <c r="O34" s="192">
        <f>IF(AND(O$6&gt;=Assumptions!$L$23,O$6&lt;=Assumptions!$M$23),(Assumptions!$J$23)*(1+Assumptions!$K$23)^(O$6-$C$6),0)</f>
        <v>0</v>
      </c>
      <c r="P34" s="192">
        <f>IF(AND(P$6&gt;=Assumptions!$L$23,P$6&lt;=Assumptions!$M$23),(Assumptions!$J$23)*(1+Assumptions!$K$23)^(P$6-$C$6),0)</f>
        <v>0</v>
      </c>
      <c r="Q34" s="192">
        <f>IF(AND(Q$6&gt;=Assumptions!$L$23,Q$6&lt;=Assumptions!$M$23),(Assumptions!$J$23)*(1+Assumptions!$K$23)^(Q$6-$C$6),0)</f>
        <v>0</v>
      </c>
      <c r="R34" s="192">
        <f>IF(AND(R$6&gt;=Assumptions!$L$23,R$6&lt;=Assumptions!$M$23),(Assumptions!$J$23)*(1+Assumptions!$K$23)^(R$6-$C$6),0)</f>
        <v>0</v>
      </c>
      <c r="S34" s="192">
        <f>IF(AND(S$6&gt;=Assumptions!$L$23,S$6&lt;=Assumptions!$M$23),(Assumptions!$J$23)*(1+Assumptions!$K$23)^(S$6-$C$6),0)</f>
        <v>0</v>
      </c>
      <c r="T34" s="192">
        <f>IF(AND(T$6&gt;=Assumptions!$L$23,T$6&lt;=Assumptions!$M$23),(Assumptions!$J$23)*(1+Assumptions!$K$23)^(T$6-$C$6),0)</f>
        <v>0</v>
      </c>
      <c r="U34" s="192">
        <f>IF(AND(U$6&gt;=Assumptions!$L$23,U$6&lt;=Assumptions!$M$23),(Assumptions!$J$23)*(1+Assumptions!$K$23)^(U$6-$C$6),0)</f>
        <v>0</v>
      </c>
      <c r="V34" s="192">
        <f>IF(AND(V$6&gt;=Assumptions!$L$23,V$6&lt;=Assumptions!$M$23),(Assumptions!$J$23)*(1+Assumptions!$K$23)^(V$6-$C$6),0)</f>
        <v>0</v>
      </c>
      <c r="W34" s="192">
        <f>IF(AND(W$6&gt;=Assumptions!$L$23,W$6&lt;=Assumptions!$M$23),(Assumptions!$J$23)*(1+Assumptions!$K$23)^(W$6-$C$6),0)</f>
        <v>0</v>
      </c>
      <c r="X34" s="192">
        <f>IF(AND(X$6&gt;=Assumptions!$L$23,X$6&lt;=Assumptions!$M$23),(Assumptions!$J$23)*(1+Assumptions!$K$23)^(X$6-$C$6),0)</f>
        <v>0</v>
      </c>
      <c r="Y34" s="192">
        <f>IF(AND(Y$6&gt;=Assumptions!$L$23,Y$6&lt;=Assumptions!$M$23),(Assumptions!$J$23)*(1+Assumptions!$K$23)^(Y$6-$C$6),0)</f>
        <v>0</v>
      </c>
      <c r="Z34" s="192">
        <f>IF(AND(Z$6&gt;=Assumptions!$L$23,Z$6&lt;=Assumptions!$M$23),(Assumptions!$J$23)*(1+Assumptions!$K$23)^(Z$6-$C$6),0)</f>
        <v>0</v>
      </c>
      <c r="AA34" s="192">
        <f>IF(AND(AA$6&gt;=Assumptions!$L$23,AA$6&lt;=Assumptions!$M$23),(Assumptions!$J$23)*(1+Assumptions!$K$23)^(AA$6-$C$6),0)</f>
        <v>0</v>
      </c>
    </row>
    <row r="35" spans="1:30" s="96" customFormat="1" ht="15.75" customHeight="1" x14ac:dyDescent="0.25">
      <c r="A35" s="193" t="s">
        <v>71</v>
      </c>
      <c r="B35" s="177"/>
      <c r="C35" s="192">
        <f>IF(AND(C$6&gt;=Assumptions!$L$24,C$6&lt;=Assumptions!$M$24),(Assumptions!$J$24)*(1+Assumptions!$K$24)^(C$6-$C$6),0)</f>
        <v>0</v>
      </c>
      <c r="D35" s="192">
        <f>IF(AND(D$6&gt;=Assumptions!$L$24,D$6&lt;=Assumptions!$M$24),(Assumptions!$J$24)*(1+Assumptions!$K$24)^(D$6-$C$6),0)</f>
        <v>0</v>
      </c>
      <c r="E35" s="192">
        <f>IF(AND(E$6&gt;=Assumptions!$L$24,E$6&lt;=Assumptions!$M$24),(Assumptions!$J$24)*(1+Assumptions!$K$24)^(E$6-$C$6),0)</f>
        <v>0</v>
      </c>
      <c r="F35" s="192">
        <f>IF(AND(F$6&gt;=Assumptions!$L$24,F$6&lt;=Assumptions!$M$24),(Assumptions!$J$24)*(1+Assumptions!$K$24)^(F$6-$C$6),0)</f>
        <v>0</v>
      </c>
      <c r="G35" s="192">
        <f>IF(AND(G$6&gt;=Assumptions!$L$24,G$6&lt;=Assumptions!$M$24),(Assumptions!$J$24)*(1+Assumptions!$K$24)^(G$6-$C$6),0)</f>
        <v>0</v>
      </c>
      <c r="H35" s="192">
        <f>IF(AND(H$6&gt;=Assumptions!$L$24,H$6&lt;=Assumptions!$M$24),(Assumptions!$J$24)*(1+Assumptions!$K$24)^(H$6-$C$6),0)</f>
        <v>0</v>
      </c>
      <c r="I35" s="192">
        <f>IF(AND(I$6&gt;=Assumptions!$L$24,I$6&lt;=Assumptions!$M$24),(Assumptions!$J$24)*(1+Assumptions!$K$24)^(I$6-$C$6),0)</f>
        <v>0</v>
      </c>
      <c r="J35" s="192">
        <f>IF(AND(J$6&gt;=Assumptions!$L$24,J$6&lt;=Assumptions!$M$24),(Assumptions!$J$24)*(1+Assumptions!$K$24)^(J$6-$C$6),0)</f>
        <v>0</v>
      </c>
      <c r="K35" s="192">
        <f>IF(AND(K$6&gt;=Assumptions!$L$24,K$6&lt;=Assumptions!$M$24),(Assumptions!$J$24)*(1+Assumptions!$K$24)^(K$6-$C$6),0)</f>
        <v>0</v>
      </c>
      <c r="L35" s="192">
        <f>IF(AND(L$6&gt;=Assumptions!$L$24,L$6&lt;=Assumptions!$M$24),(Assumptions!$J$24)*(1+Assumptions!$K$24)^(L$6-$C$6),0)</f>
        <v>0</v>
      </c>
      <c r="M35" s="192">
        <f>IF(AND(M$6&gt;=Assumptions!$L$24,M$6&lt;=Assumptions!$M$24),(Assumptions!$J$24)*(1+Assumptions!$K$24)^(M$6-$C$6),0)</f>
        <v>0</v>
      </c>
      <c r="N35" s="192">
        <f>IF(AND(N$6&gt;=Assumptions!$L$24,N$6&lt;=Assumptions!$M$24),(Assumptions!$J$24)*(1+Assumptions!$K$24)^(N$6-$C$6),0)</f>
        <v>0</v>
      </c>
      <c r="O35" s="192">
        <f>IF(AND(O$6&gt;=Assumptions!$L$24,O$6&lt;=Assumptions!$M$24),(Assumptions!$J$24)*(1+Assumptions!$K$24)^(O$6-$C$6),0)</f>
        <v>0</v>
      </c>
      <c r="P35" s="192">
        <f>IF(AND(P$6&gt;=Assumptions!$L$24,P$6&lt;=Assumptions!$M$24),(Assumptions!$J$24)*(1+Assumptions!$K$24)^(P$6-$C$6),0)</f>
        <v>0</v>
      </c>
      <c r="Q35" s="192">
        <f>IF(AND(Q$6&gt;=Assumptions!$L$24,Q$6&lt;=Assumptions!$M$24),(Assumptions!$J$24)*(1+Assumptions!$K$24)^(Q$6-$C$6),0)</f>
        <v>0</v>
      </c>
      <c r="R35" s="192">
        <f>IF(AND(R$6&gt;=Assumptions!$L$24,R$6&lt;=Assumptions!$M$24),(Assumptions!$J$24)*(1+Assumptions!$K$24)^(R$6-$C$6),0)</f>
        <v>0</v>
      </c>
      <c r="S35" s="192">
        <f>IF(AND(S$6&gt;=Assumptions!$L$24,S$6&lt;=Assumptions!$M$24),(Assumptions!$J$24)*(1+Assumptions!$K$24)^(S$6-$C$6),0)</f>
        <v>0</v>
      </c>
      <c r="T35" s="192">
        <f>IF(AND(T$6&gt;=Assumptions!$L$24,T$6&lt;=Assumptions!$M$24),(Assumptions!$J$24)*(1+Assumptions!$K$24)^(T$6-$C$6),0)</f>
        <v>0</v>
      </c>
      <c r="U35" s="192">
        <f>IF(AND(U$6&gt;=Assumptions!$L$24,U$6&lt;=Assumptions!$M$24),(Assumptions!$J$24)*(1+Assumptions!$K$24)^(U$6-$C$6),0)</f>
        <v>0</v>
      </c>
      <c r="V35" s="192">
        <f>IF(AND(V$6&gt;=Assumptions!$L$24,V$6&lt;=Assumptions!$M$24),(Assumptions!$J$24)*(1+Assumptions!$K$24)^(V$6-$C$6),0)</f>
        <v>0</v>
      </c>
      <c r="W35" s="192">
        <f>IF(AND(W$6&gt;=Assumptions!$L$24,W$6&lt;=Assumptions!$M$24),(Assumptions!$J$24)*(1+Assumptions!$K$24)^(W$6-$C$6),0)</f>
        <v>0</v>
      </c>
      <c r="X35" s="192">
        <f>IF(AND(X$6&gt;=Assumptions!$L$24,X$6&lt;=Assumptions!$M$24),(Assumptions!$J$24)*(1+Assumptions!$K$24)^(X$6-$C$6),0)</f>
        <v>0</v>
      </c>
      <c r="Y35" s="192">
        <f>IF(AND(Y$6&gt;=Assumptions!$L$24,Y$6&lt;=Assumptions!$M$24),(Assumptions!$J$24)*(1+Assumptions!$K$24)^(Y$6-$C$6),0)</f>
        <v>0</v>
      </c>
      <c r="Z35" s="192">
        <f>IF(AND(Z$6&gt;=Assumptions!$L$24,Z$6&lt;=Assumptions!$M$24),(Assumptions!$J$24)*(1+Assumptions!$K$24)^(Z$6-$C$6),0)</f>
        <v>0</v>
      </c>
      <c r="AA35" s="192">
        <f>IF(AND(AA$6&gt;=Assumptions!$L$24,AA$6&lt;=Assumptions!$M$24),(Assumptions!$J$24)*(1+Assumptions!$K$24)^(AA$6-$C$6),0)</f>
        <v>0</v>
      </c>
      <c r="AB35" s="33"/>
      <c r="AC35" s="33"/>
      <c r="AD35" s="33"/>
    </row>
    <row r="36" spans="1:30" ht="15.75" customHeight="1" thickBot="1" x14ac:dyDescent="0.3">
      <c r="A36" s="203" t="s">
        <v>131</v>
      </c>
      <c r="C36" s="198">
        <f t="shared" ref="C36:AA36" si="10">SUM(C24:C35)</f>
        <v>2449</v>
      </c>
      <c r="D36" s="198">
        <f t="shared" si="10"/>
        <v>2485.4249999999997</v>
      </c>
      <c r="E36" s="198">
        <f t="shared" si="10"/>
        <v>2522.5386750000002</v>
      </c>
      <c r="F36" s="198">
        <f t="shared" si="10"/>
        <v>2560.3527161249995</v>
      </c>
      <c r="G36" s="198">
        <f t="shared" si="10"/>
        <v>2598.8790319368741</v>
      </c>
      <c r="H36" s="198">
        <f t="shared" si="10"/>
        <v>2638.1297523888275</v>
      </c>
      <c r="I36" s="198">
        <f t="shared" si="10"/>
        <v>2678.1172328545022</v>
      </c>
      <c r="J36" s="198">
        <f t="shared" si="10"/>
        <v>2718.8540582331693</v>
      </c>
      <c r="K36" s="198">
        <f t="shared" si="10"/>
        <v>2760.3530471324202</v>
      </c>
      <c r="L36" s="198">
        <f t="shared" si="10"/>
        <v>2802.6272561298383</v>
      </c>
      <c r="M36" s="198">
        <f t="shared" si="10"/>
        <v>2845.6899841151489</v>
      </c>
      <c r="N36" s="198">
        <f t="shared" si="10"/>
        <v>2889.554776714358</v>
      </c>
      <c r="O36" s="198">
        <f t="shared" si="10"/>
        <v>2934.2354307974442</v>
      </c>
      <c r="P36" s="198">
        <f t="shared" si="10"/>
        <v>2979.7459990711804</v>
      </c>
      <c r="Q36" s="198">
        <f t="shared" si="10"/>
        <v>3026.1007947587095</v>
      </c>
      <c r="R36" s="198">
        <f t="shared" si="10"/>
        <v>3073.3143963674943</v>
      </c>
      <c r="S36" s="198">
        <f t="shared" si="10"/>
        <v>3121.4016525473562</v>
      </c>
      <c r="T36" s="198">
        <f t="shared" si="10"/>
        <v>3170.3776870402671</v>
      </c>
      <c r="U36" s="198">
        <f t="shared" si="10"/>
        <v>3220.2579037236737</v>
      </c>
      <c r="V36" s="198">
        <f t="shared" si="10"/>
        <v>3271.0579917491045</v>
      </c>
      <c r="W36" s="198">
        <f t="shared" si="10"/>
        <v>0</v>
      </c>
      <c r="X36" s="198">
        <f t="shared" si="10"/>
        <v>0</v>
      </c>
      <c r="Y36" s="198">
        <f t="shared" si="10"/>
        <v>0</v>
      </c>
      <c r="Z36" s="198">
        <f t="shared" si="10"/>
        <v>0</v>
      </c>
      <c r="AA36" s="198">
        <f t="shared" si="10"/>
        <v>0</v>
      </c>
    </row>
    <row r="37" spans="1:30" ht="15.75" customHeight="1" x14ac:dyDescent="0.25">
      <c r="A37" s="197"/>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row>
    <row r="38" spans="1:30" ht="15.75" customHeight="1" x14ac:dyDescent="0.25">
      <c r="A38" s="196" t="s">
        <v>130</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row>
    <row r="39" spans="1:30" ht="15.75" customHeight="1" x14ac:dyDescent="0.25">
      <c r="A39" s="206" t="s">
        <v>129</v>
      </c>
      <c r="C39" s="205">
        <f t="shared" ref="C39:AA39" si="11">C21-C36</f>
        <v>7020.1520000000019</v>
      </c>
      <c r="D39" s="205">
        <f t="shared" si="11"/>
        <v>6887.141649600002</v>
      </c>
      <c r="E39" s="205">
        <f t="shared" si="11"/>
        <v>6750.5640019920011</v>
      </c>
      <c r="F39" s="205">
        <f t="shared" si="11"/>
        <v>6610.3594521418809</v>
      </c>
      <c r="G39" s="205">
        <f t="shared" si="11"/>
        <v>6466.4675071626862</v>
      </c>
      <c r="H39" s="205">
        <f t="shared" si="11"/>
        <v>6318.8267737432361</v>
      </c>
      <c r="I39" s="205">
        <f t="shared" si="11"/>
        <v>6167.3749453968103</v>
      </c>
      <c r="J39" s="205">
        <f t="shared" si="11"/>
        <v>6012.0487895271563</v>
      </c>
      <c r="K39" s="205">
        <f t="shared" si="11"/>
        <v>5852.7841343092814</v>
      </c>
      <c r="L39" s="205">
        <f t="shared" si="11"/>
        <v>5689.5158553820866</v>
      </c>
      <c r="M39" s="205">
        <f t="shared" si="11"/>
        <v>5522.1778623502605</v>
      </c>
      <c r="N39" s="205">
        <f t="shared" si="11"/>
        <v>5350.7030850924511</v>
      </c>
      <c r="O39" s="205">
        <f t="shared" si="11"/>
        <v>5175.0234598729494</v>
      </c>
      <c r="P39" s="205">
        <f t="shared" si="11"/>
        <v>4995.0699152538891</v>
      </c>
      <c r="Q39" s="205">
        <f t="shared" si="11"/>
        <v>4810.7723578050627</v>
      </c>
      <c r="R39" s="205">
        <f t="shared" si="11"/>
        <v>4622.059657608319</v>
      </c>
      <c r="S39" s="205">
        <f t="shared" si="11"/>
        <v>4428.8596335534867</v>
      </c>
      <c r="T39" s="205">
        <f t="shared" si="11"/>
        <v>4231.0990384227061</v>
      </c>
      <c r="U39" s="205">
        <f t="shared" si="11"/>
        <v>4028.7035437600616</v>
      </c>
      <c r="V39" s="205">
        <f t="shared" si="11"/>
        <v>3821.597724523263</v>
      </c>
      <c r="W39" s="205">
        <f t="shared" si="11"/>
        <v>0</v>
      </c>
      <c r="X39" s="205">
        <f t="shared" si="11"/>
        <v>0</v>
      </c>
      <c r="Y39" s="205">
        <f t="shared" si="11"/>
        <v>0</v>
      </c>
      <c r="Z39" s="205">
        <f t="shared" si="11"/>
        <v>0</v>
      </c>
      <c r="AA39" s="205">
        <f t="shared" si="11"/>
        <v>0</v>
      </c>
    </row>
    <row r="40" spans="1:30" ht="15.75" customHeight="1" x14ac:dyDescent="0.25">
      <c r="A40" s="193" t="s">
        <v>68</v>
      </c>
      <c r="B40" s="177"/>
      <c r="C40" s="199">
        <f>IF(Assumptions!$J$29="none",0, IF(Assumptions!$J$29="Straight-Line",'Calculations Appendix'!B11,0))</f>
        <v>3900</v>
      </c>
      <c r="D40" s="199">
        <f>IF(Assumptions!$J$29="none",0, IF(Assumptions!$J$29="MACRS",'Calculations Appendix'!#REF!, IF(Assumptions!$J$29="Straight-Line",'Calculations Appendix'!C11, IF(Assumptions!$J$29="MACRS - 100% First Year Bonus",'Calculations Appendix'!#REF!, IF(Assumptions!$J$29="MACRS - 50% First Year Bonus",'Calculations Appendix'!#REF!)))))</f>
        <v>3900</v>
      </c>
      <c r="E40" s="199">
        <f>IF(Assumptions!$J$29="none",0, IF(Assumptions!$J$29="MACRS",'Calculations Appendix'!#REF!, IF(Assumptions!$J$29="Straight-Line",'Calculations Appendix'!D11, IF(Assumptions!$J$29="MACRS - 100% First Year Bonus",'Calculations Appendix'!#REF!, IF(Assumptions!$J$29="MACRS - 50% First Year Bonus",'Calculations Appendix'!#REF!)))))</f>
        <v>3900</v>
      </c>
      <c r="F40" s="199">
        <f>IF(Assumptions!$J$29="none",0, IF(Assumptions!$J$29="MACRS",'Calculations Appendix'!#REF!, IF(Assumptions!$J$29="Straight-Line",'Calculations Appendix'!E11, IF(Assumptions!$J$29="MACRS - 100% First Year Bonus",'Calculations Appendix'!#REF!, IF(Assumptions!$J$29="MACRS - 50% First Year Bonus",'Calculations Appendix'!#REF!)))))</f>
        <v>3900</v>
      </c>
      <c r="G40" s="199">
        <f>IF(Assumptions!$J$29="none",0, IF(Assumptions!$J$29="MACRS",'Calculations Appendix'!#REF!, IF(Assumptions!$J$29="Straight-Line",'Calculations Appendix'!F11, IF(Assumptions!$J$29="MACRS - 100% First Year Bonus",'Calculations Appendix'!#REF!, IF(Assumptions!$J$29="MACRS - 50% First Year Bonus",'Calculations Appendix'!#REF!)))))</f>
        <v>3900</v>
      </c>
      <c r="H40" s="199">
        <f>IF(Assumptions!$J$29="none",0, IF(Assumptions!$J$29="MACRS",'Calculations Appendix'!#REF!, IF(Assumptions!$J$29="Straight-Line",'Calculations Appendix'!G11, IF(Assumptions!$J$29="MACRS - 100% First Year Bonus",'Calculations Appendix'!#REF!, IF(Assumptions!$J$29="MACRS - 50% First Year Bonus",'Calculations Appendix'!#REF!)))))</f>
        <v>3900</v>
      </c>
      <c r="I40" s="199">
        <f>IF(Assumptions!$J$29="none",0, IF(Assumptions!$J$29="MACRS",'Calculations Appendix'!#REF!, IF(Assumptions!$J$29="Straight-Line",'Calculations Appendix'!H11, IF(Assumptions!$J$29="MACRS - 100% First Year Bonus",'Calculations Appendix'!#REF!, IF(Assumptions!$J$29="MACRS - 50% First Year Bonus",'Calculations Appendix'!#REF!)))))</f>
        <v>3900</v>
      </c>
      <c r="J40" s="199">
        <f>IF(Assumptions!$J$29="none",0, IF(Assumptions!$J$29="MACRS",'Calculations Appendix'!#REF!, IF(Assumptions!$J$29="Straight-Line",'Calculations Appendix'!I11, IF(Assumptions!$J$29="MACRS - 100% First Year Bonus",'Calculations Appendix'!#REF!, IF(Assumptions!$J$29="MACRS - 50% First Year Bonus",'Calculations Appendix'!#REF!)))))</f>
        <v>3900</v>
      </c>
      <c r="K40" s="199">
        <f>IF(Assumptions!$J$29="none",0, IF(Assumptions!$J$29="MACRS",'Calculations Appendix'!#REF!, IF(Assumptions!$J$29="Straight-Line",'Calculations Appendix'!J11, IF(Assumptions!$J$29="MACRS - 100% First Year Bonus",'Calculations Appendix'!#REF!, IF(Assumptions!$J$29="MACRS - 50% First Year Bonus",'Calculations Appendix'!#REF!)))))</f>
        <v>3900</v>
      </c>
      <c r="L40" s="199">
        <f>IF(Assumptions!$J$29="none",0, IF(Assumptions!$J$29="MACRS",'Calculations Appendix'!#REF!, IF(Assumptions!$J$29="Straight-Line",'Calculations Appendix'!K11, IF(Assumptions!$J$29="MACRS - 100% First Year Bonus",'Calculations Appendix'!#REF!, IF(Assumptions!$J$29="MACRS - 50% First Year Bonus",'Calculations Appendix'!#REF!)))))</f>
        <v>3900</v>
      </c>
      <c r="M40" s="199">
        <f>IF(Assumptions!$J$29="none",0, IF(Assumptions!$J$29="MACRS",'Calculations Appendix'!#REF!, IF(Assumptions!$J$29="Straight-Line",'Calculations Appendix'!L11, IF(Assumptions!$J$29="MACRS - 100% First Year Bonus",'Calculations Appendix'!#REF!, IF(Assumptions!$J$29="MACRS - 50% First Year Bonus",'Calculations Appendix'!#REF!)))))</f>
        <v>3900</v>
      </c>
      <c r="N40" s="199">
        <f>IF(Assumptions!$J$29="none",0, IF(Assumptions!$J$29="MACRS",'Calculations Appendix'!#REF!, IF(Assumptions!$J$29="Straight-Line",'Calculations Appendix'!M11, IF(Assumptions!$J$29="MACRS - 100% First Year Bonus",'Calculations Appendix'!#REF!, IF(Assumptions!$J$29="MACRS - 50% First Year Bonus",'Calculations Appendix'!#REF!)))))</f>
        <v>3900</v>
      </c>
      <c r="O40" s="199">
        <f>IF(Assumptions!$J$29="none",0, IF(Assumptions!$J$29="MACRS",'Calculations Appendix'!#REF!, IF(Assumptions!$J$29="Straight-Line",'Calculations Appendix'!N11, IF(Assumptions!$J$29="MACRS - 100% First Year Bonus",'Calculations Appendix'!#REF!, IF(Assumptions!$J$29="MACRS - 50% First Year Bonus",'Calculations Appendix'!#REF!)))))</f>
        <v>3900</v>
      </c>
      <c r="P40" s="199">
        <f>IF(Assumptions!$J$29="none",0, IF(Assumptions!$J$29="MACRS",'Calculations Appendix'!#REF!, IF(Assumptions!$J$29="Straight-Line",'Calculations Appendix'!O11, IF(Assumptions!$J$29="MACRS - 100% First Year Bonus",'Calculations Appendix'!#REF!, IF(Assumptions!$J$29="MACRS - 50% First Year Bonus",'Calculations Appendix'!#REF!)))))</f>
        <v>3900</v>
      </c>
      <c r="Q40" s="199">
        <f>IF(Assumptions!$J$29="none",0, IF(Assumptions!$J$29="MACRS",'Calculations Appendix'!#REF!, IF(Assumptions!$J$29="Straight-Line",'Calculations Appendix'!P11, IF(Assumptions!$J$29="MACRS - 100% First Year Bonus",'Calculations Appendix'!#REF!, IF(Assumptions!$J$29="MACRS - 50% First Year Bonus",'Calculations Appendix'!#REF!)))))</f>
        <v>3900</v>
      </c>
      <c r="R40" s="199">
        <f>IF(Assumptions!$J$29="none",0, IF(Assumptions!$J$29="MACRS",'Calculations Appendix'!#REF!, IF(Assumptions!$J$29="Straight-Line",'Calculations Appendix'!Q11, IF(Assumptions!$J$29="MACRS - 100% First Year Bonus",'Calculations Appendix'!#REF!, IF(Assumptions!$J$29="MACRS - 50% First Year Bonus",'Calculations Appendix'!#REF!)))))</f>
        <v>3900</v>
      </c>
      <c r="S40" s="199">
        <f>IF(Assumptions!$J$29="none",0, IF(Assumptions!$J$29="MACRS",'Calculations Appendix'!#REF!, IF(Assumptions!$J$29="Straight-Line",'Calculations Appendix'!R11, IF(Assumptions!$J$29="MACRS - 100% First Year Bonus",'Calculations Appendix'!#REF!, IF(Assumptions!$J$29="MACRS - 50% First Year Bonus",'Calculations Appendix'!#REF!)))))</f>
        <v>3900</v>
      </c>
      <c r="T40" s="199">
        <f>IF(Assumptions!$J$29="none",0, IF(Assumptions!$J$29="MACRS",'Calculations Appendix'!#REF!, IF(Assumptions!$J$29="Straight-Line",'Calculations Appendix'!S11, IF(Assumptions!$J$29="MACRS - 100% First Year Bonus",'Calculations Appendix'!#REF!, IF(Assumptions!$J$29="MACRS - 50% First Year Bonus",'Calculations Appendix'!#REF!)))))</f>
        <v>3900</v>
      </c>
      <c r="U40" s="199">
        <f>IF(Assumptions!$J$29="none",0, IF(Assumptions!$J$29="MACRS",'Calculations Appendix'!#REF!, IF(Assumptions!$J$29="Straight-Line",'Calculations Appendix'!T11, IF(Assumptions!$J$29="MACRS - 100% First Year Bonus",'Calculations Appendix'!#REF!, IF(Assumptions!$J$29="MACRS - 50% First Year Bonus",'Calculations Appendix'!#REF!)))))</f>
        <v>3900</v>
      </c>
      <c r="V40" s="199">
        <f>IF(Assumptions!$J$29="none",0, IF(Assumptions!$J$29="MACRS",'Calculations Appendix'!#REF!, IF(Assumptions!$J$29="Straight-Line",'Calculations Appendix'!U11, IF(Assumptions!$J$29="MACRS - 100% First Year Bonus",'Calculations Appendix'!#REF!, IF(Assumptions!$J$29="MACRS - 50% First Year Bonus",'Calculations Appendix'!#REF!)))))</f>
        <v>3900</v>
      </c>
      <c r="W40" s="199">
        <f>IF(Assumptions!$J$29="none",0, IF(Assumptions!$J$29="MACRS",'Calculations Appendix'!#REF!, IF(Assumptions!$J$29="Straight-Line",'Calculations Appendix'!V11, IF(Assumptions!$J$29="MACRS - 100% First Year Bonus",'Calculations Appendix'!#REF!, IF(Assumptions!$J$29="MACRS - 50% First Year Bonus",'Calculations Appendix'!#REF!)))))</f>
        <v>0</v>
      </c>
      <c r="X40" s="199">
        <f>IF(Assumptions!$J$29="none",0, IF(Assumptions!$J$29="MACRS",'Calculations Appendix'!#REF!, IF(Assumptions!$J$29="Straight-Line",'Calculations Appendix'!W11, IF(Assumptions!$J$29="MACRS - 100% First Year Bonus",'Calculations Appendix'!#REF!, IF(Assumptions!$J$29="MACRS - 50% First Year Bonus",'Calculations Appendix'!#REF!)))))</f>
        <v>0</v>
      </c>
      <c r="Y40" s="199">
        <f>IF(Assumptions!$J$29="none",0, IF(Assumptions!$J$29="MACRS",'Calculations Appendix'!#REF!, IF(Assumptions!$J$29="Straight-Line",'Calculations Appendix'!X11, IF(Assumptions!$J$29="MACRS - 100% First Year Bonus",'Calculations Appendix'!#REF!, IF(Assumptions!$J$29="MACRS - 50% First Year Bonus",'Calculations Appendix'!#REF!)))))</f>
        <v>0</v>
      </c>
      <c r="Z40" s="199">
        <f>IF(Assumptions!$J$29="none",0, IF(Assumptions!$J$29="MACRS",'Calculations Appendix'!#REF!, IF(Assumptions!$J$29="Straight-Line",'Calculations Appendix'!Y11, IF(Assumptions!$J$29="MACRS - 100% First Year Bonus",'Calculations Appendix'!#REF!, IF(Assumptions!$J$29="MACRS - 50% First Year Bonus",'Calculations Appendix'!#REF!)))))</f>
        <v>0</v>
      </c>
      <c r="AA40" s="199">
        <f>IF(Assumptions!$J$29="none",0, IF(Assumptions!$J$29="MACRS",'Calculations Appendix'!#REF!, IF(Assumptions!$J$29="Straight-Line",'Calculations Appendix'!Z11, IF(Assumptions!$J$29="MACRS - 100% First Year Bonus",'Calculations Appendix'!#REF!, IF(Assumptions!$J$29="MACRS - 50% First Year Bonus",'Calculations Appendix'!#REF!)))))</f>
        <v>0</v>
      </c>
      <c r="AB40" s="174"/>
      <c r="AC40" s="174"/>
      <c r="AD40" s="174"/>
    </row>
    <row r="41" spans="1:30" ht="15.75" customHeight="1" x14ac:dyDescent="0.25">
      <c r="A41" s="204" t="s">
        <v>128</v>
      </c>
      <c r="C41" s="192">
        <f>'Calculations Appendix'!B21</f>
        <v>0</v>
      </c>
      <c r="D41" s="192">
        <f>'Calculations Appendix'!C21</f>
        <v>0</v>
      </c>
      <c r="E41" s="192">
        <f>'Calculations Appendix'!D21</f>
        <v>0</v>
      </c>
      <c r="F41" s="192">
        <f>'Calculations Appendix'!E21</f>
        <v>0</v>
      </c>
      <c r="G41" s="192">
        <f>'Calculations Appendix'!F21</f>
        <v>0</v>
      </c>
      <c r="H41" s="192">
        <f>'Calculations Appendix'!G21</f>
        <v>0</v>
      </c>
      <c r="I41" s="192">
        <f>'Calculations Appendix'!H21</f>
        <v>0</v>
      </c>
      <c r="J41" s="192">
        <f>'Calculations Appendix'!I21</f>
        <v>0</v>
      </c>
      <c r="K41" s="192">
        <f>'Calculations Appendix'!J21</f>
        <v>0</v>
      </c>
      <c r="L41" s="192">
        <f>'Calculations Appendix'!K21</f>
        <v>0</v>
      </c>
      <c r="M41" s="192">
        <f>'Calculations Appendix'!L21</f>
        <v>0</v>
      </c>
      <c r="N41" s="192">
        <f>'Calculations Appendix'!M21</f>
        <v>0</v>
      </c>
      <c r="O41" s="192">
        <f>'Calculations Appendix'!N21</f>
        <v>0</v>
      </c>
      <c r="P41" s="192">
        <f>'Calculations Appendix'!O21</f>
        <v>0</v>
      </c>
      <c r="Q41" s="192">
        <f>'Calculations Appendix'!P21</f>
        <v>0</v>
      </c>
      <c r="R41" s="192">
        <f>'Calculations Appendix'!Q21</f>
        <v>0</v>
      </c>
      <c r="S41" s="192">
        <f>'Calculations Appendix'!R21</f>
        <v>0</v>
      </c>
      <c r="T41" s="192">
        <f>'Calculations Appendix'!S21</f>
        <v>0</v>
      </c>
      <c r="U41" s="192">
        <f>'Calculations Appendix'!T21</f>
        <v>0</v>
      </c>
      <c r="V41" s="192">
        <f>'Calculations Appendix'!U21</f>
        <v>0</v>
      </c>
      <c r="W41" s="192">
        <f>'Calculations Appendix'!V21</f>
        <v>0</v>
      </c>
      <c r="X41" s="192">
        <f>'Calculations Appendix'!W21</f>
        <v>0</v>
      </c>
      <c r="Y41" s="192">
        <f>'Calculations Appendix'!X21</f>
        <v>0</v>
      </c>
      <c r="Z41" s="192">
        <f>'Calculations Appendix'!Y21</f>
        <v>0</v>
      </c>
      <c r="AA41" s="192">
        <f>'Calculations Appendix'!Z21</f>
        <v>0</v>
      </c>
    </row>
    <row r="42" spans="1:30" s="96" customFormat="1" ht="15.75" customHeight="1" thickBot="1" x14ac:dyDescent="0.3">
      <c r="A42" s="203" t="s">
        <v>127</v>
      </c>
      <c r="B42" s="177"/>
      <c r="C42" s="198">
        <f t="shared" ref="C42:AA42" si="12">C36+SUM(C40:C41)</f>
        <v>6349</v>
      </c>
      <c r="D42" s="198">
        <f t="shared" si="12"/>
        <v>6385.4249999999993</v>
      </c>
      <c r="E42" s="198">
        <f t="shared" si="12"/>
        <v>6422.5386749999998</v>
      </c>
      <c r="F42" s="198">
        <f t="shared" si="12"/>
        <v>6460.3527161249995</v>
      </c>
      <c r="G42" s="198">
        <f t="shared" si="12"/>
        <v>6498.8790319368745</v>
      </c>
      <c r="H42" s="198">
        <f t="shared" si="12"/>
        <v>6538.1297523888279</v>
      </c>
      <c r="I42" s="198">
        <f t="shared" si="12"/>
        <v>6578.1172328545017</v>
      </c>
      <c r="J42" s="198">
        <f t="shared" si="12"/>
        <v>6618.8540582331698</v>
      </c>
      <c r="K42" s="198">
        <f t="shared" si="12"/>
        <v>6660.3530471324202</v>
      </c>
      <c r="L42" s="198">
        <f t="shared" si="12"/>
        <v>6702.6272561298383</v>
      </c>
      <c r="M42" s="198">
        <f t="shared" si="12"/>
        <v>6745.6899841151489</v>
      </c>
      <c r="N42" s="198">
        <f t="shared" si="12"/>
        <v>6789.554776714358</v>
      </c>
      <c r="O42" s="198">
        <f t="shared" si="12"/>
        <v>6834.2354307974438</v>
      </c>
      <c r="P42" s="198">
        <f t="shared" si="12"/>
        <v>6879.7459990711804</v>
      </c>
      <c r="Q42" s="198">
        <f t="shared" si="12"/>
        <v>6926.1007947587095</v>
      </c>
      <c r="R42" s="198">
        <f t="shared" si="12"/>
        <v>6973.3143963674938</v>
      </c>
      <c r="S42" s="198">
        <f t="shared" si="12"/>
        <v>7021.4016525473562</v>
      </c>
      <c r="T42" s="198">
        <f t="shared" si="12"/>
        <v>7070.3776870402671</v>
      </c>
      <c r="U42" s="198">
        <f t="shared" si="12"/>
        <v>7120.2579037236737</v>
      </c>
      <c r="V42" s="198">
        <f t="shared" si="12"/>
        <v>7171.057991749105</v>
      </c>
      <c r="W42" s="198">
        <f t="shared" si="12"/>
        <v>0</v>
      </c>
      <c r="X42" s="198">
        <f t="shared" si="12"/>
        <v>0</v>
      </c>
      <c r="Y42" s="198">
        <f t="shared" si="12"/>
        <v>0</v>
      </c>
      <c r="Z42" s="198">
        <f t="shared" si="12"/>
        <v>0</v>
      </c>
      <c r="AA42" s="198">
        <f t="shared" si="12"/>
        <v>0</v>
      </c>
      <c r="AB42" s="33"/>
      <c r="AC42" s="33"/>
      <c r="AD42" s="33"/>
    </row>
    <row r="43" spans="1:30" s="96" customFormat="1" ht="15.75" customHeight="1" x14ac:dyDescent="0.25">
      <c r="A43" s="171"/>
      <c r="B43" s="177"/>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33"/>
      <c r="AC43" s="33"/>
      <c r="AD43" s="33"/>
    </row>
    <row r="44" spans="1:30" ht="15.75" customHeight="1" thickBot="1" x14ac:dyDescent="0.3">
      <c r="A44" s="202" t="s">
        <v>126</v>
      </c>
      <c r="B44" s="201">
        <f>B9</f>
        <v>-78000</v>
      </c>
      <c r="C44" s="201">
        <f t="shared" ref="C44:AA44" si="13">(C21-C42)</f>
        <v>3120.1520000000019</v>
      </c>
      <c r="D44" s="201">
        <f t="shared" si="13"/>
        <v>2987.141649600002</v>
      </c>
      <c r="E44" s="201">
        <f t="shared" si="13"/>
        <v>2850.5640019920011</v>
      </c>
      <c r="F44" s="201">
        <f t="shared" si="13"/>
        <v>2710.3594521418809</v>
      </c>
      <c r="G44" s="201">
        <f t="shared" si="13"/>
        <v>2566.4675071626862</v>
      </c>
      <c r="H44" s="201">
        <f t="shared" si="13"/>
        <v>2418.8267737432361</v>
      </c>
      <c r="I44" s="201">
        <f t="shared" si="13"/>
        <v>2267.3749453968103</v>
      </c>
      <c r="J44" s="201">
        <f t="shared" si="13"/>
        <v>2112.0487895271563</v>
      </c>
      <c r="K44" s="201">
        <f t="shared" si="13"/>
        <v>1952.7841343092814</v>
      </c>
      <c r="L44" s="201">
        <f t="shared" si="13"/>
        <v>1789.5158553820866</v>
      </c>
      <c r="M44" s="201">
        <f t="shared" si="13"/>
        <v>1622.1778623502605</v>
      </c>
      <c r="N44" s="201">
        <f t="shared" si="13"/>
        <v>1450.7030850924511</v>
      </c>
      <c r="O44" s="201">
        <f t="shared" si="13"/>
        <v>1275.0234598729503</v>
      </c>
      <c r="P44" s="201">
        <f t="shared" si="13"/>
        <v>1095.0699152538891</v>
      </c>
      <c r="Q44" s="201">
        <f t="shared" si="13"/>
        <v>910.77235780506271</v>
      </c>
      <c r="R44" s="201">
        <f t="shared" si="13"/>
        <v>722.05965760831896</v>
      </c>
      <c r="S44" s="201">
        <f t="shared" si="13"/>
        <v>528.85963355348667</v>
      </c>
      <c r="T44" s="201">
        <f t="shared" si="13"/>
        <v>331.09903842270614</v>
      </c>
      <c r="U44" s="201">
        <f t="shared" si="13"/>
        <v>128.70354376006162</v>
      </c>
      <c r="V44" s="201">
        <f t="shared" si="13"/>
        <v>-78.402275476737486</v>
      </c>
      <c r="W44" s="201">
        <f t="shared" si="13"/>
        <v>0</v>
      </c>
      <c r="X44" s="201">
        <f t="shared" si="13"/>
        <v>0</v>
      </c>
      <c r="Y44" s="201">
        <f t="shared" si="13"/>
        <v>0</v>
      </c>
      <c r="Z44" s="201">
        <f t="shared" si="13"/>
        <v>0</v>
      </c>
      <c r="AA44" s="201">
        <f t="shared" si="13"/>
        <v>0</v>
      </c>
      <c r="AB44" s="174"/>
      <c r="AC44" s="174"/>
      <c r="AD44" s="174"/>
    </row>
    <row r="45" spans="1:30" ht="15.75" customHeight="1" x14ac:dyDescent="0.25">
      <c r="A45" s="200"/>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4"/>
      <c r="AC45" s="174"/>
      <c r="AD45" s="174"/>
    </row>
    <row r="46" spans="1:30" ht="15.75" customHeight="1" x14ac:dyDescent="0.25">
      <c r="A46" s="196" t="s">
        <v>125</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4"/>
      <c r="AC46" s="174"/>
      <c r="AD46" s="174"/>
    </row>
    <row r="47" spans="1:30" ht="15.75" customHeight="1" x14ac:dyDescent="0.25">
      <c r="A47" s="193" t="s">
        <v>124</v>
      </c>
      <c r="B47" s="175"/>
      <c r="C47" s="199">
        <f>IF(C$6&lt;=Assumptions!$F$32,((-'Pro Forma'!C44*Assumptions!$C$32)*(Assumptions!$C$55)),((-'Pro Forma'!C$44*Assumptions!$C$33)*(Assumptions!$C$55)))</f>
        <v>0</v>
      </c>
      <c r="D47" s="199">
        <f>IF(D$6&lt;=Assumptions!$F$32,((-'Pro Forma'!D44*Assumptions!$C$32)*(Assumptions!$C$55)),((-'Pro Forma'!D$44*Assumptions!$C$33)*(Assumptions!$C$55)))</f>
        <v>0</v>
      </c>
      <c r="E47" s="199">
        <f>IF(E$6&lt;=Assumptions!$F$32,((-'Pro Forma'!E44*Assumptions!$C$32)*(Assumptions!$C$55)),((-'Pro Forma'!E$44*Assumptions!$C$33)*(Assumptions!$C$55)))</f>
        <v>0</v>
      </c>
      <c r="F47" s="199">
        <f>IF(F$6&lt;=Assumptions!$F$32,((-'Pro Forma'!F44*Assumptions!$C$32)*(Assumptions!$C$55)),((-'Pro Forma'!F$44*Assumptions!$C$33)*(Assumptions!$C$55)))</f>
        <v>0</v>
      </c>
      <c r="G47" s="199">
        <f>IF(G$6&lt;=Assumptions!$F$32,((-'Pro Forma'!G44*Assumptions!$C$32)*(Assumptions!$C$55)),((-'Pro Forma'!G$44*Assumptions!$C$33)*(Assumptions!$C$55)))</f>
        <v>0</v>
      </c>
      <c r="H47" s="199">
        <f>IF(H$6&lt;=Assumptions!$F$32,((-'Pro Forma'!H44*Assumptions!$C$32)*(Assumptions!$C$55)),((-'Pro Forma'!H$44*Assumptions!$C$33)*(Assumptions!$C$55)))</f>
        <v>0</v>
      </c>
      <c r="I47" s="199">
        <f>IF(I$6&lt;=Assumptions!$F$32,((-'Pro Forma'!I44*Assumptions!$C$32)*(Assumptions!$C$55)),((-'Pro Forma'!I$44*Assumptions!$C$33)*(Assumptions!$C$55)))</f>
        <v>0</v>
      </c>
      <c r="J47" s="199">
        <f>IF(J$6&lt;=Assumptions!$F$32,((-'Pro Forma'!J44*Assumptions!$C$32)*(Assumptions!$C$55)),((-'Pro Forma'!J$44*Assumptions!$C$33)*(Assumptions!$C$55)))</f>
        <v>0</v>
      </c>
      <c r="K47" s="199">
        <f>IF(K$6&lt;=Assumptions!$F$32,((-'Pro Forma'!K44*Assumptions!$C$32)*(Assumptions!$C$55)),((-'Pro Forma'!K$44*Assumptions!$C$33)*(Assumptions!$C$55)))</f>
        <v>0</v>
      </c>
      <c r="L47" s="199">
        <f>IF(L$6&lt;=Assumptions!$F$32,((-'Pro Forma'!L44*Assumptions!$C$32)*(Assumptions!$C$55)),((-'Pro Forma'!L$44*Assumptions!$C$33)*(Assumptions!$C$55)))</f>
        <v>0</v>
      </c>
      <c r="M47" s="199">
        <f>IF(M$6&lt;=Assumptions!$F$32,((-'Pro Forma'!M44*Assumptions!$C$32)*(Assumptions!$C$55)),((-'Pro Forma'!M$44*Assumptions!$C$33)*(Assumptions!$C$55)))</f>
        <v>0</v>
      </c>
      <c r="N47" s="199">
        <f>IF(N$6&lt;=Assumptions!$F$32,((-'Pro Forma'!N44*Assumptions!$C$32)*(Assumptions!$C$55)),((-'Pro Forma'!N$44*Assumptions!$C$33)*(Assumptions!$C$55)))</f>
        <v>0</v>
      </c>
      <c r="O47" s="199">
        <f>IF(O$6&lt;=Assumptions!$F$32,((-'Pro Forma'!O44*Assumptions!$C$32)*(Assumptions!$C$55)),((-'Pro Forma'!O$44*Assumptions!$C$33)*(Assumptions!$C$55)))</f>
        <v>0</v>
      </c>
      <c r="P47" s="199">
        <f>IF(P$6&lt;=Assumptions!$F$32,((-'Pro Forma'!P44*Assumptions!$C$32)*(Assumptions!$C$55)),((-'Pro Forma'!P$44*Assumptions!$C$33)*(Assumptions!$C$55)))</f>
        <v>0</v>
      </c>
      <c r="Q47" s="199">
        <f>IF(Q$6&lt;=Assumptions!$F$32,((-'Pro Forma'!Q44*Assumptions!$C$32)*(Assumptions!$C$55)),((-'Pro Forma'!Q$44*Assumptions!$C$33)*(Assumptions!$C$55)))</f>
        <v>0</v>
      </c>
      <c r="R47" s="199">
        <f>IF(R$6&lt;=Assumptions!$F$32,((-'Pro Forma'!R44*Assumptions!$C$32)*(Assumptions!$C$55)),((-'Pro Forma'!R$44*Assumptions!$C$33)*(Assumptions!$C$55)))</f>
        <v>0</v>
      </c>
      <c r="S47" s="199">
        <f>IF(S$6&lt;=Assumptions!$F$32,((-'Pro Forma'!S44*Assumptions!$C$32)*(Assumptions!$C$55)),((-'Pro Forma'!S$44*Assumptions!$C$33)*(Assumptions!$C$55)))</f>
        <v>0</v>
      </c>
      <c r="T47" s="199">
        <f>IF(T$6&lt;=Assumptions!$F$32,((-'Pro Forma'!T44*Assumptions!$C$32)*(Assumptions!$C$55)),((-'Pro Forma'!T$44*Assumptions!$C$33)*(Assumptions!$C$55)))</f>
        <v>0</v>
      </c>
      <c r="U47" s="199">
        <f>IF(U$6&lt;=Assumptions!$F$32,((-'Pro Forma'!U44*Assumptions!$C$32)*(Assumptions!$C$55)),((-'Pro Forma'!U$44*Assumptions!$C$33)*(Assumptions!$C$55)))</f>
        <v>0</v>
      </c>
      <c r="V47" s="199">
        <f>IF(V$6&lt;=Assumptions!$F$32,((-'Pro Forma'!V44*Assumptions!$C$32)*(Assumptions!$C$55)),((-'Pro Forma'!V$44*Assumptions!$C$33)*(Assumptions!$C$55)))</f>
        <v>0</v>
      </c>
      <c r="W47" s="199">
        <f>IF(W$6&lt;=Assumptions!$F$32,((-'Pro Forma'!W44*Assumptions!$C$32)*(Assumptions!$C$55)),((-'Pro Forma'!W$44*Assumptions!$C$33)*(Assumptions!$C$55)))</f>
        <v>0</v>
      </c>
      <c r="X47" s="199">
        <f>IF(X$6&lt;=Assumptions!$F$32,((-'Pro Forma'!X44*Assumptions!$C$32)*(Assumptions!$C$55)),((-'Pro Forma'!X$44*Assumptions!$C$33)*(Assumptions!$C$55)))</f>
        <v>0</v>
      </c>
      <c r="Y47" s="199">
        <f>IF(Y$6&lt;=Assumptions!$F$32,((-'Pro Forma'!Y44*Assumptions!$C$32)*(Assumptions!$C$55)),((-'Pro Forma'!Y$44*Assumptions!$C$33)*(Assumptions!$C$55)))</f>
        <v>0</v>
      </c>
      <c r="Z47" s="199">
        <f>IF(Z$6&lt;=Assumptions!$F$32,((-'Pro Forma'!Z44*Assumptions!$C$32)*(Assumptions!$C$55)),((-'Pro Forma'!Z$44*Assumptions!$C$33)*(Assumptions!$C$55)))</f>
        <v>0</v>
      </c>
      <c r="AA47" s="199">
        <f>IF(AA$6&lt;=Assumptions!$F$32,((-'Pro Forma'!AA44*Assumptions!$C$32)*(Assumptions!$C$55)),((-'Pro Forma'!AA$44*Assumptions!$C$33)*(Assumptions!$C$55)))</f>
        <v>0</v>
      </c>
      <c r="AB47" s="174"/>
      <c r="AC47" s="174"/>
      <c r="AD47" s="174"/>
    </row>
    <row r="48" spans="1:30" ht="15.75" customHeight="1" x14ac:dyDescent="0.25">
      <c r="A48" s="193" t="s">
        <v>123</v>
      </c>
      <c r="B48" s="175"/>
      <c r="C48" s="199">
        <f>IF(C$6&lt;Assumptions!$E$33,((-'Pro Forma'!C$44*Assumptions!$C$34)*(Assumptions!$C$63)),((-'Pro Forma'!C$44*Assumptions!$C$35)*(Assumptions!$C$63)))</f>
        <v>0</v>
      </c>
      <c r="D48" s="199">
        <f>IF(D$6&lt;Assumptions!$E$33,((-'Pro Forma'!D$44*Assumptions!$C$34)*(Assumptions!$C$63)),((-'Pro Forma'!D$44*Assumptions!$C$35)*(Assumptions!$C$63)))</f>
        <v>0</v>
      </c>
      <c r="E48" s="199">
        <f>IF(E$6&lt;Assumptions!$E$33,((-'Pro Forma'!E$44*Assumptions!$C$34)*(Assumptions!$C$63)),((-'Pro Forma'!E$44*Assumptions!$C$35)*(Assumptions!$C$63)))</f>
        <v>0</v>
      </c>
      <c r="F48" s="199">
        <f>IF(F$6&lt;Assumptions!$E$33,((-'Pro Forma'!F$44*Assumptions!$C$34)*(Assumptions!$C$63)),((-'Pro Forma'!F$44*Assumptions!$C$35)*(Assumptions!$C$63)))</f>
        <v>0</v>
      </c>
      <c r="G48" s="199">
        <f>IF(G$6&lt;Assumptions!$E$33,((-'Pro Forma'!G$44*Assumptions!$C$34)*(Assumptions!$C$63)),((-'Pro Forma'!G$44*Assumptions!$C$35)*(Assumptions!$C$63)))</f>
        <v>0</v>
      </c>
      <c r="H48" s="199">
        <f>IF(H$6&lt;Assumptions!$E$33,((-'Pro Forma'!H$44*Assumptions!$C$34)*(Assumptions!$C$63)),((-'Pro Forma'!H$44*Assumptions!$C$35)*(Assumptions!$C$63)))</f>
        <v>0</v>
      </c>
      <c r="I48" s="199">
        <f>IF(I$6&lt;Assumptions!$E$33,((-'Pro Forma'!I$44*Assumptions!$C$34)*(Assumptions!$C$63)),((-'Pro Forma'!I$44*Assumptions!$C$35)*(Assumptions!$C$63)))</f>
        <v>0</v>
      </c>
      <c r="J48" s="199">
        <f>IF(J$6&lt;Assumptions!$E$33,((-'Pro Forma'!J$44*Assumptions!$C$34)*(Assumptions!$C$63)),((-'Pro Forma'!J$44*Assumptions!$C$35)*(Assumptions!$C$63)))</f>
        <v>0</v>
      </c>
      <c r="K48" s="199">
        <f>IF(K$6&lt;Assumptions!$E$33,((-'Pro Forma'!K$44*Assumptions!$C$34)*(Assumptions!$C$63)),((-'Pro Forma'!K$44*Assumptions!$C$35)*(Assumptions!$C$63)))</f>
        <v>0</v>
      </c>
      <c r="L48" s="199">
        <f>IF(L$6&lt;Assumptions!$E$33,((-'Pro Forma'!L$44*Assumptions!$C$34)*(Assumptions!$C$63)),((-'Pro Forma'!L$44*Assumptions!$C$35)*(Assumptions!$C$63)))</f>
        <v>0</v>
      </c>
      <c r="M48" s="199">
        <f>IF(M$6&lt;Assumptions!$E$33,((-'Pro Forma'!M$44*Assumptions!$C$34)*(Assumptions!$C$63)),((-'Pro Forma'!M$44*Assumptions!$C$35)*(Assumptions!$C$63)))</f>
        <v>0</v>
      </c>
      <c r="N48" s="199">
        <f>IF(N$6&lt;Assumptions!$E$33,((-'Pro Forma'!N$44*Assumptions!$C$34)*(Assumptions!$C$63)),((-'Pro Forma'!N$44*Assumptions!$C$35)*(Assumptions!$C$63)))</f>
        <v>0</v>
      </c>
      <c r="O48" s="199">
        <f>IF(O$6&lt;Assumptions!$E$33,((-'Pro Forma'!O$44*Assumptions!$C$34)*(Assumptions!$C$63)),((-'Pro Forma'!O$44*Assumptions!$C$35)*(Assumptions!$C$63)))</f>
        <v>0</v>
      </c>
      <c r="P48" s="199">
        <f>IF(P$6&lt;Assumptions!$E$33,((-'Pro Forma'!P$44*Assumptions!$C$34)*(Assumptions!$C$63)),((-'Pro Forma'!P$44*Assumptions!$C$35)*(Assumptions!$C$63)))</f>
        <v>0</v>
      </c>
      <c r="Q48" s="199">
        <f>IF(Q$6&lt;Assumptions!$E$33,((-'Pro Forma'!Q$44*Assumptions!$C$34)*(Assumptions!$C$63)),((-'Pro Forma'!Q$44*Assumptions!$C$35)*(Assumptions!$C$63)))</f>
        <v>0</v>
      </c>
      <c r="R48" s="199">
        <f>IF(R$6&lt;Assumptions!$E$33,((-'Pro Forma'!R$44*Assumptions!$C$34)*(Assumptions!$C$63)),((-'Pro Forma'!R$44*Assumptions!$C$35)*(Assumptions!$C$63)))</f>
        <v>0</v>
      </c>
      <c r="S48" s="199">
        <f>IF(S$6&lt;Assumptions!$E$33,((-'Pro Forma'!S$44*Assumptions!$C$34)*(Assumptions!$C$63)),((-'Pro Forma'!S$44*Assumptions!$C$35)*(Assumptions!$C$63)))</f>
        <v>0</v>
      </c>
      <c r="T48" s="199">
        <f>IF(T$6&lt;Assumptions!$E$33,((-'Pro Forma'!T$44*Assumptions!$C$34)*(Assumptions!$C$63)),((-'Pro Forma'!T$44*Assumptions!$C$35)*(Assumptions!$C$63)))</f>
        <v>0</v>
      </c>
      <c r="U48" s="199">
        <f>IF(U$6&lt;Assumptions!$E$33,((-'Pro Forma'!U$44*Assumptions!$C$34)*(Assumptions!$C$63)),((-'Pro Forma'!U$44*Assumptions!$C$35)*(Assumptions!$C$63)))</f>
        <v>0</v>
      </c>
      <c r="V48" s="199">
        <f>IF(V$6&lt;Assumptions!$E$33,((-'Pro Forma'!V$44*Assumptions!$C$34)*(Assumptions!$C$63)),((-'Pro Forma'!V$44*Assumptions!$C$35)*(Assumptions!$C$63)))</f>
        <v>0</v>
      </c>
      <c r="W48" s="199">
        <f>IF(W$6&lt;Assumptions!$E$33,((-'Pro Forma'!W$44*Assumptions!$C$34)*(Assumptions!$C$63)),((-'Pro Forma'!W$44*Assumptions!$C$35)*(Assumptions!$C$63)))</f>
        <v>0</v>
      </c>
      <c r="X48" s="199">
        <f>IF(X$6&lt;Assumptions!$E$33,((-'Pro Forma'!X$44*Assumptions!$C$34)*(Assumptions!$C$63)),((-'Pro Forma'!X$44*Assumptions!$C$35)*(Assumptions!$C$63)))</f>
        <v>0</v>
      </c>
      <c r="Y48" s="199">
        <f>IF(Y$6&lt;Assumptions!$E$33,((-'Pro Forma'!Y$44*Assumptions!$C$34)*(Assumptions!$C$63)),((-'Pro Forma'!Y$44*Assumptions!$C$35)*(Assumptions!$C$63)))</f>
        <v>0</v>
      </c>
      <c r="Z48" s="199">
        <f>IF(Z$6&lt;Assumptions!$E$33,((-'Pro Forma'!Z$44*Assumptions!$C$34)*(Assumptions!$C$63)),((-'Pro Forma'!Z$44*Assumptions!$C$35)*(Assumptions!$C$63)))</f>
        <v>0</v>
      </c>
      <c r="AA48" s="199">
        <f>IF(AA$6&lt;Assumptions!$E$33,((-'Pro Forma'!AA$44*Assumptions!$C$34)*(Assumptions!$C$63)),((-'Pro Forma'!AA$44*Assumptions!$C$35)*(Assumptions!$C$63)))</f>
        <v>0</v>
      </c>
      <c r="AB48" s="174"/>
      <c r="AC48" s="174"/>
      <c r="AD48" s="174"/>
    </row>
    <row r="49" spans="1:30" ht="15.75" customHeight="1" thickBot="1" x14ac:dyDescent="0.3">
      <c r="A49" s="197" t="s">
        <v>122</v>
      </c>
      <c r="B49" s="177"/>
      <c r="C49" s="198">
        <f>SUM(C47:C48)</f>
        <v>0</v>
      </c>
      <c r="D49" s="198">
        <f t="shared" ref="D49:V49" si="14">SUM(D47:D48)</f>
        <v>0</v>
      </c>
      <c r="E49" s="198">
        <f t="shared" si="14"/>
        <v>0</v>
      </c>
      <c r="F49" s="198">
        <f t="shared" si="14"/>
        <v>0</v>
      </c>
      <c r="G49" s="198">
        <f t="shared" si="14"/>
        <v>0</v>
      </c>
      <c r="H49" s="198">
        <f t="shared" si="14"/>
        <v>0</v>
      </c>
      <c r="I49" s="198">
        <f t="shared" si="14"/>
        <v>0</v>
      </c>
      <c r="J49" s="198">
        <f t="shared" si="14"/>
        <v>0</v>
      </c>
      <c r="K49" s="198">
        <f t="shared" si="14"/>
        <v>0</v>
      </c>
      <c r="L49" s="198">
        <f t="shared" si="14"/>
        <v>0</v>
      </c>
      <c r="M49" s="198">
        <f t="shared" si="14"/>
        <v>0</v>
      </c>
      <c r="N49" s="198">
        <f t="shared" si="14"/>
        <v>0</v>
      </c>
      <c r="O49" s="198">
        <f t="shared" si="14"/>
        <v>0</v>
      </c>
      <c r="P49" s="198">
        <f t="shared" si="14"/>
        <v>0</v>
      </c>
      <c r="Q49" s="198">
        <f t="shared" si="14"/>
        <v>0</v>
      </c>
      <c r="R49" s="198">
        <f t="shared" si="14"/>
        <v>0</v>
      </c>
      <c r="S49" s="198">
        <f t="shared" si="14"/>
        <v>0</v>
      </c>
      <c r="T49" s="198">
        <f t="shared" si="14"/>
        <v>0</v>
      </c>
      <c r="U49" s="198">
        <f t="shared" si="14"/>
        <v>0</v>
      </c>
      <c r="V49" s="198">
        <f t="shared" si="14"/>
        <v>0</v>
      </c>
      <c r="W49" s="198">
        <f>SUM(W47:W48)</f>
        <v>0</v>
      </c>
      <c r="X49" s="198">
        <f>SUM(X47:X48)</f>
        <v>0</v>
      </c>
      <c r="Y49" s="198">
        <f>SUM(Y47:Y48)</f>
        <v>0</v>
      </c>
      <c r="Z49" s="198">
        <f>SUM(Z47:Z48)</f>
        <v>0</v>
      </c>
      <c r="AA49" s="198">
        <f>SUM(AA47:AA48)</f>
        <v>0</v>
      </c>
      <c r="AB49" s="174"/>
      <c r="AC49" s="174"/>
      <c r="AD49" s="174"/>
    </row>
    <row r="50" spans="1:30" ht="15.75" customHeight="1" x14ac:dyDescent="0.25">
      <c r="A50" s="197"/>
      <c r="B50" s="177"/>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74"/>
      <c r="AC50" s="174"/>
      <c r="AD50" s="174"/>
    </row>
    <row r="51" spans="1:30" ht="15.75" customHeight="1" x14ac:dyDescent="0.25">
      <c r="A51" s="196" t="s">
        <v>121</v>
      </c>
      <c r="B51" s="177"/>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74"/>
      <c r="AC51" s="174"/>
      <c r="AD51" s="174"/>
    </row>
    <row r="52" spans="1:30" ht="15.75" customHeight="1" x14ac:dyDescent="0.25">
      <c r="A52" s="193" t="s">
        <v>120</v>
      </c>
      <c r="B52" s="177"/>
      <c r="C52" s="192">
        <f t="shared" ref="C52:AA52" si="15">C40</f>
        <v>3900</v>
      </c>
      <c r="D52" s="192">
        <f t="shared" si="15"/>
        <v>3900</v>
      </c>
      <c r="E52" s="192">
        <f t="shared" si="15"/>
        <v>3900</v>
      </c>
      <c r="F52" s="192">
        <f t="shared" si="15"/>
        <v>3900</v>
      </c>
      <c r="G52" s="192">
        <f t="shared" si="15"/>
        <v>3900</v>
      </c>
      <c r="H52" s="192">
        <f t="shared" si="15"/>
        <v>3900</v>
      </c>
      <c r="I52" s="192">
        <f t="shared" si="15"/>
        <v>3900</v>
      </c>
      <c r="J52" s="192">
        <f t="shared" si="15"/>
        <v>3900</v>
      </c>
      <c r="K52" s="192">
        <f t="shared" si="15"/>
        <v>3900</v>
      </c>
      <c r="L52" s="192">
        <f t="shared" si="15"/>
        <v>3900</v>
      </c>
      <c r="M52" s="192">
        <f t="shared" si="15"/>
        <v>3900</v>
      </c>
      <c r="N52" s="192">
        <f t="shared" si="15"/>
        <v>3900</v>
      </c>
      <c r="O52" s="192">
        <f t="shared" si="15"/>
        <v>3900</v>
      </c>
      <c r="P52" s="192">
        <f t="shared" si="15"/>
        <v>3900</v>
      </c>
      <c r="Q52" s="192">
        <f t="shared" si="15"/>
        <v>3900</v>
      </c>
      <c r="R52" s="192">
        <f t="shared" si="15"/>
        <v>3900</v>
      </c>
      <c r="S52" s="192">
        <f t="shared" si="15"/>
        <v>3900</v>
      </c>
      <c r="T52" s="192">
        <f t="shared" si="15"/>
        <v>3900</v>
      </c>
      <c r="U52" s="192">
        <f t="shared" si="15"/>
        <v>3900</v>
      </c>
      <c r="V52" s="192">
        <f t="shared" si="15"/>
        <v>3900</v>
      </c>
      <c r="W52" s="192">
        <f t="shared" si="15"/>
        <v>0</v>
      </c>
      <c r="X52" s="192">
        <f t="shared" si="15"/>
        <v>0</v>
      </c>
      <c r="Y52" s="192">
        <f t="shared" si="15"/>
        <v>0</v>
      </c>
      <c r="Z52" s="192">
        <f t="shared" si="15"/>
        <v>0</v>
      </c>
      <c r="AA52" s="192">
        <f t="shared" si="15"/>
        <v>0</v>
      </c>
      <c r="AB52" s="174"/>
      <c r="AC52" s="174"/>
      <c r="AD52" s="174"/>
    </row>
    <row r="53" spans="1:30" ht="15.75" customHeight="1" x14ac:dyDescent="0.25">
      <c r="A53" s="193" t="s">
        <v>119</v>
      </c>
      <c r="B53" s="177"/>
      <c r="C53" s="192">
        <f>'Calculations Appendix'!B22</f>
        <v>0</v>
      </c>
      <c r="D53" s="192">
        <f>'Calculations Appendix'!C22</f>
        <v>0</v>
      </c>
      <c r="E53" s="192">
        <f>'Calculations Appendix'!D22</f>
        <v>0</v>
      </c>
      <c r="F53" s="192">
        <f>'Calculations Appendix'!E22</f>
        <v>0</v>
      </c>
      <c r="G53" s="192">
        <f>'Calculations Appendix'!F22</f>
        <v>0</v>
      </c>
      <c r="H53" s="192">
        <f>'Calculations Appendix'!G22</f>
        <v>0</v>
      </c>
      <c r="I53" s="192">
        <f>'Calculations Appendix'!H22</f>
        <v>0</v>
      </c>
      <c r="J53" s="192">
        <f>'Calculations Appendix'!I22</f>
        <v>0</v>
      </c>
      <c r="K53" s="192">
        <f>'Calculations Appendix'!J22</f>
        <v>0</v>
      </c>
      <c r="L53" s="192">
        <f>'Calculations Appendix'!K22</f>
        <v>0</v>
      </c>
      <c r="M53" s="192">
        <f>'Calculations Appendix'!L22</f>
        <v>0</v>
      </c>
      <c r="N53" s="192">
        <f>'Calculations Appendix'!M22</f>
        <v>0</v>
      </c>
      <c r="O53" s="192">
        <f>'Calculations Appendix'!N22</f>
        <v>0</v>
      </c>
      <c r="P53" s="192">
        <f>'Calculations Appendix'!O22</f>
        <v>0</v>
      </c>
      <c r="Q53" s="192">
        <f>'Calculations Appendix'!P22</f>
        <v>0</v>
      </c>
      <c r="R53" s="192">
        <f>'Calculations Appendix'!Q22</f>
        <v>0</v>
      </c>
      <c r="S53" s="192">
        <f>'Calculations Appendix'!R22</f>
        <v>0</v>
      </c>
      <c r="T53" s="192">
        <f>'Calculations Appendix'!S22</f>
        <v>0</v>
      </c>
      <c r="U53" s="192">
        <f>'Calculations Appendix'!T22</f>
        <v>0</v>
      </c>
      <c r="V53" s="192">
        <f>'Calculations Appendix'!U22</f>
        <v>0</v>
      </c>
      <c r="W53" s="192">
        <f>'Calculations Appendix'!V22</f>
        <v>0</v>
      </c>
      <c r="X53" s="192">
        <f>'Calculations Appendix'!W22</f>
        <v>0</v>
      </c>
      <c r="Y53" s="192">
        <f>'Calculations Appendix'!X22</f>
        <v>0</v>
      </c>
      <c r="Z53" s="192">
        <f>'Calculations Appendix'!Y22</f>
        <v>0</v>
      </c>
      <c r="AA53" s="192">
        <f>'Calculations Appendix'!Z22</f>
        <v>0</v>
      </c>
      <c r="AB53" s="174"/>
      <c r="AC53" s="174"/>
      <c r="AD53" s="174"/>
    </row>
    <row r="54" spans="1:30" ht="15.75" customHeight="1" x14ac:dyDescent="0.25">
      <c r="A54" s="193"/>
      <c r="B54" s="177"/>
      <c r="C54" s="195"/>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74"/>
      <c r="AC54" s="174"/>
      <c r="AD54" s="174"/>
    </row>
    <row r="55" spans="1:30" ht="15.75" customHeight="1" x14ac:dyDescent="0.25">
      <c r="A55" s="191" t="s">
        <v>118</v>
      </c>
      <c r="B55" s="190">
        <f>B44</f>
        <v>-78000</v>
      </c>
      <c r="C55" s="194">
        <f t="shared" ref="C55:AA55" si="16">C44+C49+C52-C53</f>
        <v>7020.1520000000019</v>
      </c>
      <c r="D55" s="194">
        <f t="shared" si="16"/>
        <v>6887.141649600002</v>
      </c>
      <c r="E55" s="194">
        <f t="shared" si="16"/>
        <v>6750.5640019920011</v>
      </c>
      <c r="F55" s="194">
        <f t="shared" si="16"/>
        <v>6610.3594521418809</v>
      </c>
      <c r="G55" s="194">
        <f t="shared" si="16"/>
        <v>6466.4675071626862</v>
      </c>
      <c r="H55" s="194">
        <f t="shared" si="16"/>
        <v>6318.8267737432361</v>
      </c>
      <c r="I55" s="194">
        <f t="shared" si="16"/>
        <v>6167.3749453968103</v>
      </c>
      <c r="J55" s="194">
        <f t="shared" si="16"/>
        <v>6012.0487895271563</v>
      </c>
      <c r="K55" s="194">
        <f t="shared" si="16"/>
        <v>5852.7841343092814</v>
      </c>
      <c r="L55" s="194">
        <f t="shared" si="16"/>
        <v>5689.5158553820866</v>
      </c>
      <c r="M55" s="194">
        <f t="shared" si="16"/>
        <v>5522.1778623502605</v>
      </c>
      <c r="N55" s="194">
        <f t="shared" si="16"/>
        <v>5350.7030850924511</v>
      </c>
      <c r="O55" s="194">
        <f t="shared" si="16"/>
        <v>5175.0234598729503</v>
      </c>
      <c r="P55" s="194">
        <f t="shared" si="16"/>
        <v>4995.0699152538891</v>
      </c>
      <c r="Q55" s="194">
        <f t="shared" si="16"/>
        <v>4810.7723578050627</v>
      </c>
      <c r="R55" s="194">
        <f t="shared" si="16"/>
        <v>4622.059657608319</v>
      </c>
      <c r="S55" s="194">
        <f t="shared" si="16"/>
        <v>4428.8596335534867</v>
      </c>
      <c r="T55" s="194">
        <f t="shared" si="16"/>
        <v>4231.0990384227061</v>
      </c>
      <c r="U55" s="194">
        <f t="shared" si="16"/>
        <v>4028.7035437600616</v>
      </c>
      <c r="V55" s="194">
        <f t="shared" si="16"/>
        <v>3821.5977245232625</v>
      </c>
      <c r="W55" s="194">
        <f t="shared" si="16"/>
        <v>0</v>
      </c>
      <c r="X55" s="194">
        <f t="shared" si="16"/>
        <v>0</v>
      </c>
      <c r="Y55" s="194">
        <f t="shared" si="16"/>
        <v>0</v>
      </c>
      <c r="Z55" s="194">
        <f t="shared" si="16"/>
        <v>0</v>
      </c>
      <c r="AA55" s="194">
        <f t="shared" si="16"/>
        <v>0</v>
      </c>
      <c r="AB55" s="174"/>
      <c r="AC55" s="174"/>
      <c r="AD55" s="174"/>
    </row>
    <row r="56" spans="1:30" ht="15.75" customHeight="1" x14ac:dyDescent="0.25">
      <c r="A56" s="193"/>
      <c r="B56" s="177"/>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74"/>
      <c r="AC56" s="174"/>
      <c r="AD56" s="174"/>
    </row>
    <row r="57" spans="1:30" ht="15.75" customHeight="1" x14ac:dyDescent="0.25">
      <c r="A57" s="191" t="s">
        <v>117</v>
      </c>
      <c r="B57" s="190">
        <f>-Assumptions!C38</f>
        <v>-78000</v>
      </c>
      <c r="C57" s="189">
        <f>IF(C$6&lt;=Assumptions!$F$32,((C$55*Assumptions!$C$32)+IF(AND(Assumptions!$C$56="yes",C$6&lt;=Assumptions!$F$56,C$6&gt;=Assumptions!$E$56),('Pro Forma'!C29)*(1-Assumptions!$C$55),0)+IF(AND(Assumptions!$C$57="yes",C$6&lt;=Assumptions!$F$57,C$6&gt;=Assumptions!$E$57),('Pro Forma'!C$26)*(1-Assumptions!$C$55),0)-IF(AND(C6&lt;=Assumptions!$F$31,'Pro Forma'!C6&gt;=Assumptions!$E$31),Assumptions!$C$31,0)),((C55*Assumptions!$C$33)+IF(AND(Assumptions!$C$56="yes",C$6&lt;=Assumptions!$F$56,C$6&gt;=Assumptions!$E$56),('Pro Forma'!C29)*(1-Assumptions!$C$55),0)+IF(AND(Assumptions!$C$57="yes",C$6&lt;=Assumptions!$F$57,C$6&gt;=Assumptions!$E$57),('Pro Forma'!C26)*(1-Assumptions!$C$55),0)-IF(AND(C6&lt;=Assumptions!$F$31,'Pro Forma'!C6&gt;=Assumptions!$E$31),Assumptions!$C$31,0)))</f>
        <v>7671.1520000000019</v>
      </c>
      <c r="D57" s="189">
        <f>IF(D$6&lt;=Assumptions!$F$32,((D$55*Assumptions!$C$32)+IF(AND(Assumptions!$C$56="yes",D$6&lt;=Assumptions!$F$56,D$6&gt;=Assumptions!$E$56),('Pro Forma'!D29)*(1-Assumptions!$C$55),0)+IF(AND(Assumptions!$C$57="yes",D$6&lt;=Assumptions!$F$57,D$6&gt;=Assumptions!$E$57),('Pro Forma'!D$26)*(1-Assumptions!$C$55),0)-IF(AND(D6&lt;=Assumptions!$F$31,'Pro Forma'!D6&gt;=Assumptions!$E$31),Assumptions!$C$31,0)),((D55*Assumptions!$C$33)+IF(AND(Assumptions!$C$56="yes",D$6&lt;=Assumptions!$F$56,D$6&gt;=Assumptions!$E$56),('Pro Forma'!D29)*(1-Assumptions!$C$55),0)+IF(AND(Assumptions!$C$57="yes",D$6&lt;=Assumptions!$F$57,D$6&gt;=Assumptions!$E$57),('Pro Forma'!D26)*(1-Assumptions!$C$55),0)-IF(AND(D6&lt;=Assumptions!$F$31,'Pro Forma'!D6&gt;=Assumptions!$E$31),Assumptions!$C$31,0)))</f>
        <v>7549.5466496000026</v>
      </c>
      <c r="E57" s="189">
        <f>IF(E$6&lt;=Assumptions!$F$32,((E$55*Assumptions!$C$32)+IF(AND(Assumptions!$C$56="yes",E$6&lt;=Assumptions!$F$56,E$6&gt;=Assumptions!$E$56),('Pro Forma'!E29)*(1-Assumptions!$C$55),0)+IF(AND(Assumptions!$C$57="yes",E$6&lt;=Assumptions!$F$57,E$6&gt;=Assumptions!$E$57),('Pro Forma'!E$26)*(1-Assumptions!$C$55),0)-IF(AND(E6&lt;=Assumptions!$F$31,'Pro Forma'!E6&gt;=Assumptions!$E$31),Assumptions!$C$31,0)),((E55*Assumptions!$C$33)+IF(AND(Assumptions!$C$56="yes",E$6&lt;=Assumptions!$F$56,E$6&gt;=Assumptions!$E$56),('Pro Forma'!E29)*(1-Assumptions!$C$55),0)+IF(AND(Assumptions!$C$57="yes",E$6&lt;=Assumptions!$F$57,E$6&gt;=Assumptions!$E$57),('Pro Forma'!E26)*(1-Assumptions!$C$55),0)-IF(AND(E6&lt;=Assumptions!$F$31,'Pro Forma'!E6&gt;=Assumptions!$E$31),Assumptions!$C$31,0)))</f>
        <v>7424.5778769920007</v>
      </c>
      <c r="F57" s="189">
        <f>IF(F$6&lt;=Assumptions!$F$32,((F$55*Assumptions!$C$32)+IF(AND(Assumptions!$C$56="yes",F$6&lt;=Assumptions!$F$56,F$6&gt;=Assumptions!$E$56),('Pro Forma'!F29)*(1-Assumptions!$C$55),0)+IF(AND(Assumptions!$C$57="yes",F$6&lt;=Assumptions!$F$57,F$6&gt;=Assumptions!$E$57),('Pro Forma'!F$26)*(1-Assumptions!$C$55),0)-IF(AND(F6&lt;=Assumptions!$F$31,'Pro Forma'!F6&gt;=Assumptions!$E$31),Assumptions!$C$31,0)),((F55*Assumptions!$C$33)+IF(AND(Assumptions!$C$56="yes",F$6&lt;=Assumptions!$F$56,F$6&gt;=Assumptions!$E$56),('Pro Forma'!F29)*(1-Assumptions!$C$55),0)+IF(AND(Assumptions!$C$57="yes",F$6&lt;=Assumptions!$F$57,F$6&gt;=Assumptions!$E$57),('Pro Forma'!F26)*(1-Assumptions!$C$55),0)-IF(AND(F6&lt;=Assumptions!$F$31,'Pro Forma'!F6&gt;=Assumptions!$E$31),Assumptions!$C$31,0)))</f>
        <v>7296.189791266881</v>
      </c>
      <c r="G57" s="189">
        <f>IF(G$6&lt;=Assumptions!$F$32,((G$55*Assumptions!$C$32)+IF(AND(Assumptions!$C$56="yes",G$6&lt;=Assumptions!$F$56,G$6&gt;=Assumptions!$E$56),('Pro Forma'!G29)*(1-Assumptions!$C$55),0)+IF(AND(Assumptions!$C$57="yes",G$6&lt;=Assumptions!$F$57,G$6&gt;=Assumptions!$E$57),('Pro Forma'!G$26)*(1-Assumptions!$C$55),0)-IF(AND(G6&lt;=Assumptions!$F$31,'Pro Forma'!G6&gt;=Assumptions!$E$31),Assumptions!$C$31,0)),((G55*Assumptions!$C$33)+IF(AND(Assumptions!$C$56="yes",G$6&lt;=Assumptions!$F$56,G$6&gt;=Assumptions!$E$56),('Pro Forma'!G29)*(1-Assumptions!$C$55),0)+IF(AND(Assumptions!$C$57="yes",G$6&lt;=Assumptions!$F$57,G$6&gt;=Assumptions!$E$57),('Pro Forma'!G26)*(1-Assumptions!$C$55),0)-IF(AND(G6&lt;=Assumptions!$F$31,'Pro Forma'!G6&gt;=Assumptions!$E$31),Assumptions!$C$31,0)))</f>
        <v>7164.3256824945611</v>
      </c>
      <c r="H57" s="189">
        <f>IF(H$6&lt;=Assumptions!$F$32,((H$55*Assumptions!$C$32)+IF(AND(Assumptions!$C$56="yes",H$6&lt;=Assumptions!$F$56,H$6&gt;=Assumptions!$E$56),('Pro Forma'!H29)*(1-Assumptions!$C$55),0)+IF(AND(Assumptions!$C$57="yes",H$6&lt;=Assumptions!$F$57,H$6&gt;=Assumptions!$E$57),('Pro Forma'!H$26)*(1-Assumptions!$C$55),0)-IF(AND(H6&lt;=Assumptions!$F$31,'Pro Forma'!H6&gt;=Assumptions!$E$31),Assumptions!$C$31,0)),((H55*Assumptions!$C$33)+IF(AND(Assumptions!$C$56="yes",H$6&lt;=Assumptions!$F$56,H$6&gt;=Assumptions!$E$56),('Pro Forma'!H29)*(1-Assumptions!$C$55),0)+IF(AND(Assumptions!$C$57="yes",H$6&lt;=Assumptions!$F$57,H$6&gt;=Assumptions!$E$57),('Pro Forma'!H26)*(1-Assumptions!$C$55),0)-IF(AND(H6&lt;=Assumptions!$F$31,'Pro Forma'!H6&gt;=Assumptions!$E$31),Assumptions!$C$31,0)))</f>
        <v>7028.9280104474892</v>
      </c>
      <c r="I57" s="189">
        <f>IF(I$6&lt;=Assumptions!$F$32,((I$55*Assumptions!$C$32)+IF(AND(Assumptions!$C$56="yes",I$6&lt;=Assumptions!$F$56,I$6&gt;=Assumptions!$E$56),('Pro Forma'!I29)*(1-Assumptions!$C$55),0)+IF(AND(Assumptions!$C$57="yes",I$6&lt;=Assumptions!$F$57,I$6&gt;=Assumptions!$E$57),('Pro Forma'!I$26)*(1-Assumptions!$C$55),0)-IF(AND(I6&lt;=Assumptions!$F$31,'Pro Forma'!I6&gt;=Assumptions!$E$31),Assumptions!$C$31,0)),((I55*Assumptions!$C$33)+IF(AND(Assumptions!$C$56="yes",I$6&lt;=Assumptions!$F$56,I$6&gt;=Assumptions!$E$56),('Pro Forma'!I29)*(1-Assumptions!$C$55),0)+IF(AND(Assumptions!$C$57="yes",I$6&lt;=Assumptions!$F$57,I$6&gt;=Assumptions!$E$57),('Pro Forma'!I26)*(1-Assumptions!$C$55),0)-IF(AND(I6&lt;=Assumptions!$F$31,'Pro Forma'!I6&gt;=Assumptions!$E$31),Assumptions!$C$31,0)))</f>
        <v>6889.9383931688753</v>
      </c>
      <c r="J57" s="189">
        <f>IF(J$6&lt;=Assumptions!$F$32,((J$55*Assumptions!$C$32)+IF(AND(Assumptions!$C$56="yes",J$6&lt;=Assumptions!$F$56,J$6&gt;=Assumptions!$E$56),('Pro Forma'!J29)*(1-Assumptions!$C$55),0)+IF(AND(Assumptions!$C$57="yes",J$6&lt;=Assumptions!$F$57,J$6&gt;=Assumptions!$E$57),('Pro Forma'!J$26)*(1-Assumptions!$C$55),0)-IF(AND(J6&lt;=Assumptions!$F$31,'Pro Forma'!J6&gt;=Assumptions!$E$31),Assumptions!$C$31,0)),((J55*Assumptions!$C$33)+IF(AND(Assumptions!$C$56="yes",J$6&lt;=Assumptions!$F$56,J$6&gt;=Assumptions!$E$56),('Pro Forma'!J29)*(1-Assumptions!$C$55),0)+IF(AND(Assumptions!$C$57="yes",J$6&lt;=Assumptions!$F$57,J$6&gt;=Assumptions!$E$57),('Pro Forma'!J26)*(1-Assumptions!$C$55),0)-IF(AND(J6&lt;=Assumptions!$F$31,'Pro Forma'!J6&gt;=Assumptions!$E$31),Assumptions!$C$31,0)))</f>
        <v>6747.2975953833948</v>
      </c>
      <c r="K57" s="189">
        <f>IF(K$6&lt;=Assumptions!$F$32,((K$55*Assumptions!$C$32)+IF(AND(Assumptions!$C$56="yes",K$6&lt;=Assumptions!$F$56,K$6&gt;=Assumptions!$E$56),('Pro Forma'!K29)*(1-Assumptions!$C$55),0)+IF(AND(Assumptions!$C$57="yes",K$6&lt;=Assumptions!$F$57,K$6&gt;=Assumptions!$E$57),('Pro Forma'!K$26)*(1-Assumptions!$C$55),0)-IF(AND(K6&lt;=Assumptions!$F$31,'Pro Forma'!K6&gt;=Assumptions!$E$31),Assumptions!$C$31,0)),((K55*Assumptions!$C$33)+IF(AND(Assumptions!$C$56="yes",K$6&lt;=Assumptions!$F$56,K$6&gt;=Assumptions!$E$56),('Pro Forma'!K29)*(1-Assumptions!$C$55),0)+IF(AND(Assumptions!$C$57="yes",K$6&lt;=Assumptions!$F$57,K$6&gt;=Assumptions!$E$57),('Pro Forma'!K26)*(1-Assumptions!$C$55),0)-IF(AND(K6&lt;=Assumptions!$F$31,'Pro Forma'!K6&gt;=Assumptions!$E$31),Assumptions!$C$31,0)))</f>
        <v>6600.9455167483075</v>
      </c>
      <c r="L57" s="189">
        <f>IF(L$6&lt;=Assumptions!$F$32,((L$55*Assumptions!$C$32)+IF(AND(Assumptions!$C$56="yes",L$6&lt;=Assumptions!$F$56,L$6&gt;=Assumptions!$E$56),('Pro Forma'!L29)*(1-Assumptions!$C$55),0)+IF(AND(Assumptions!$C$57="yes",L$6&lt;=Assumptions!$F$57,L$6&gt;=Assumptions!$E$57),('Pro Forma'!L$26)*(1-Assumptions!$C$55),0)-IF(AND(L6&lt;=Assumptions!$F$31,'Pro Forma'!L6&gt;=Assumptions!$E$31),Assumptions!$C$31,0)),((L55*Assumptions!$C$33)+IF(AND(Assumptions!$C$56="yes",L$6&lt;=Assumptions!$F$56,L$6&gt;=Assumptions!$E$56),('Pro Forma'!L29)*(1-Assumptions!$C$55),0)+IF(AND(Assumptions!$C$57="yes",L$6&lt;=Assumptions!$F$57,L$6&gt;=Assumptions!$E$57),('Pro Forma'!L26)*(1-Assumptions!$C$55),0)-IF(AND(L6&lt;=Assumptions!$F$31,'Pro Forma'!L6&gt;=Assumptions!$E$31),Assumptions!$C$31,0)))</f>
        <v>6450.8211799425426</v>
      </c>
      <c r="M57" s="189">
        <f>IF(M$6&lt;=Assumptions!$F$32,((M$55*Assumptions!$C$32)+IF(AND(Assumptions!$C$56="yes",M$6&lt;=Assumptions!$F$56,M$6&gt;=Assumptions!$E$56),('Pro Forma'!M29)*(1-Assumptions!$C$55),0)+IF(AND(Assumptions!$C$57="yes",M$6&lt;=Assumptions!$F$57,M$6&gt;=Assumptions!$E$57),('Pro Forma'!M$26)*(1-Assumptions!$C$55),0)-IF(AND(M6&lt;=Assumptions!$F$31,'Pro Forma'!M6&gt;=Assumptions!$E$31),Assumptions!$C$31,0)),((M55*Assumptions!$C$33)+IF(AND(Assumptions!$C$56="yes",M$6&lt;=Assumptions!$F$56,M$6&gt;=Assumptions!$E$56),('Pro Forma'!M29)*(1-Assumptions!$C$55),0)+IF(AND(Assumptions!$C$57="yes",M$6&lt;=Assumptions!$F$57,M$6&gt;=Assumptions!$E$57),('Pro Forma'!M26)*(1-Assumptions!$C$55),0)-IF(AND(M6&lt;=Assumptions!$F$31,'Pro Forma'!M6&gt;=Assumptions!$E$31),Assumptions!$C$31,0)))</f>
        <v>6296.8627185916639</v>
      </c>
      <c r="N57" s="189">
        <f>IF(N$6&lt;=Assumptions!$F$32,((N$55*Assumptions!$C$32)+IF(AND(Assumptions!$C$56="yes",N$6&lt;=Assumptions!$F$56,N$6&gt;=Assumptions!$E$56),('Pro Forma'!N29)*(1-Assumptions!$C$55),0)+IF(AND(Assumptions!$C$57="yes",N$6&lt;=Assumptions!$F$57,N$6&gt;=Assumptions!$E$57),('Pro Forma'!N$26)*(1-Assumptions!$C$55),0)-IF(AND(N6&lt;=Assumptions!$F$31,'Pro Forma'!N6&gt;=Assumptions!$E$31),Assumptions!$C$31,0)),((N55*Assumptions!$C$33)+IF(AND(Assumptions!$C$56="yes",N$6&lt;=Assumptions!$F$56,N$6&gt;=Assumptions!$E$56),('Pro Forma'!N29)*(1-Assumptions!$C$55),0)+IF(AND(Assumptions!$C$57="yes",N$6&lt;=Assumptions!$F$57,N$6&gt;=Assumptions!$E$57),('Pro Forma'!N26)*(1-Assumptions!$C$55),0)-IF(AND(N6&lt;=Assumptions!$F$31,'Pro Forma'!N6&gt;=Assumptions!$E$31),Assumptions!$C$31,0)))</f>
        <v>6139.0073650262666</v>
      </c>
      <c r="O57" s="189">
        <f>IF(O$6&lt;=Assumptions!$F$32,((O$55*Assumptions!$C$32)+IF(AND(Assumptions!$C$56="yes",O$6&lt;=Assumptions!$F$56,O$6&gt;=Assumptions!$E$56),('Pro Forma'!O29)*(1-Assumptions!$C$55),0)+IF(AND(Assumptions!$C$57="yes",O$6&lt;=Assumptions!$F$57,O$6&gt;=Assumptions!$E$57),('Pro Forma'!O$26)*(1-Assumptions!$C$55),0)-IF(AND(O6&lt;=Assumptions!$F$31,'Pro Forma'!O6&gt;=Assumptions!$E$31),Assumptions!$C$31,0)),((O55*Assumptions!$C$33)+IF(AND(Assumptions!$C$56="yes",O$6&lt;=Assumptions!$F$56,O$6&gt;=Assumptions!$E$56),('Pro Forma'!O29)*(1-Assumptions!$C$55),0)+IF(AND(Assumptions!$C$57="yes",O$6&lt;=Assumptions!$F$57,O$6&gt;=Assumptions!$E$57),('Pro Forma'!O26)*(1-Assumptions!$C$55),0)-IF(AND(O6&lt;=Assumptions!$F$31,'Pro Forma'!O6&gt;=Assumptions!$E$31),Assumptions!$C$31,0)))</f>
        <v>5977.1914378715401</v>
      </c>
      <c r="P57" s="189">
        <f>IF(P$6&lt;=Assumptions!$F$32,((P$55*Assumptions!$C$32)+IF(AND(Assumptions!$C$56="yes",P$6&lt;=Assumptions!$F$56,P$6&gt;=Assumptions!$E$56),('Pro Forma'!P29)*(1-Assumptions!$C$55),0)+IF(AND(Assumptions!$C$57="yes",P$6&lt;=Assumptions!$F$57,P$6&gt;=Assumptions!$E$57),('Pro Forma'!P$26)*(1-Assumptions!$C$55),0)-IF(AND(P6&lt;=Assumptions!$F$31,'Pro Forma'!P6&gt;=Assumptions!$E$31),Assumptions!$C$31,0)),((P55*Assumptions!$C$33)+IF(AND(Assumptions!$C$56="yes",P$6&lt;=Assumptions!$F$56,P$6&gt;=Assumptions!$E$56),('Pro Forma'!P29)*(1-Assumptions!$C$55),0)+IF(AND(Assumptions!$C$57="yes",P$6&lt;=Assumptions!$F$57,P$6&gt;=Assumptions!$E$57),('Pro Forma'!P26)*(1-Assumptions!$C$55),0)-IF(AND(P6&lt;=Assumptions!$F$31,'Pro Forma'!P6&gt;=Assumptions!$E$31),Assumptions!$C$31,0)))</f>
        <v>5811.3503294655402</v>
      </c>
      <c r="Q57" s="189">
        <f>IF(Q$6&lt;=Assumptions!$F$32,((Q$55*Assumptions!$C$32)+IF(AND(Assumptions!$C$56="yes",Q$6&lt;=Assumptions!$F$56,Q$6&gt;=Assumptions!$E$56),('Pro Forma'!Q29)*(1-Assumptions!$C$55),0)+IF(AND(Assumptions!$C$57="yes",Q$6&lt;=Assumptions!$F$57,Q$6&gt;=Assumptions!$E$57),('Pro Forma'!Q$26)*(1-Assumptions!$C$55),0)-IF(AND(Q6&lt;=Assumptions!$F$31,'Pro Forma'!Q6&gt;=Assumptions!$E$31),Assumptions!$C$31,0)),((Q55*Assumptions!$C$33)+IF(AND(Assumptions!$C$56="yes",Q$6&lt;=Assumptions!$F$56,Q$6&gt;=Assumptions!$E$56),('Pro Forma'!Q29)*(1-Assumptions!$C$55),0)+IF(AND(Assumptions!$C$57="yes",Q$6&lt;=Assumptions!$F$57,Q$6&gt;=Assumptions!$E$57),('Pro Forma'!Q26)*(1-Assumptions!$C$55),0)-IF(AND(Q6&lt;=Assumptions!$F$31,'Pro Forma'!Q6&gt;=Assumptions!$E$31),Assumptions!$C$31,0)))</f>
        <v>5641.4184931038335</v>
      </c>
      <c r="R57" s="189">
        <f>IF(R$6&lt;=Assumptions!$F$32,((R$55*Assumptions!$C$32)+IF(AND(Assumptions!$C$56="yes",R$6&lt;=Assumptions!$F$56,R$6&gt;=Assumptions!$E$56),('Pro Forma'!R29)*(1-Assumptions!$C$55),0)+IF(AND(Assumptions!$C$57="yes",R$6&lt;=Assumptions!$F$57,R$6&gt;=Assumptions!$E$57),('Pro Forma'!R$26)*(1-Assumptions!$C$55),0)-IF(AND(R6&lt;=Assumptions!$F$31,'Pro Forma'!R6&gt;=Assumptions!$E$31),Assumptions!$C$31,0)),((R55*Assumptions!$C$33)+IF(AND(Assumptions!$C$56="yes",R$6&lt;=Assumptions!$F$56,R$6&gt;=Assumptions!$E$56),('Pro Forma'!R29)*(1-Assumptions!$C$55),0)+IF(AND(Assumptions!$C$57="yes",R$6&lt;=Assumptions!$F$57,R$6&gt;=Assumptions!$E$57),('Pro Forma'!R26)*(1-Assumptions!$C$55),0)-IF(AND(R6&lt;=Assumptions!$F$31,'Pro Forma'!R6&gt;=Assumptions!$E$31),Assumptions!$C$31,0)))</f>
        <v>5467.3294301079941</v>
      </c>
      <c r="S57" s="189">
        <f>IF(S$6&lt;=Assumptions!$F$32,((S$55*Assumptions!$C$32)+IF(AND(Assumptions!$C$56="yes",S$6&lt;=Assumptions!$F$56,S$6&gt;=Assumptions!$E$56),('Pro Forma'!S29)*(1-Assumptions!$C$55),0)+IF(AND(Assumptions!$C$57="yes",S$6&lt;=Assumptions!$F$57,S$6&gt;=Assumptions!$E$57),('Pro Forma'!S$26)*(1-Assumptions!$C$55),0)-IF(AND(S6&lt;=Assumptions!$F$31,'Pro Forma'!S6&gt;=Assumptions!$E$31),Assumptions!$C$31,0)),((S55*Assumptions!$C$33)+IF(AND(Assumptions!$C$56="yes",S$6&lt;=Assumptions!$F$56,S$6&gt;=Assumptions!$E$56),('Pro Forma'!S29)*(1-Assumptions!$C$55),0)+IF(AND(Assumptions!$C$57="yes",S$6&lt;=Assumptions!$F$57,S$6&gt;=Assumptions!$E$57),('Pro Forma'!S26)*(1-Assumptions!$C$55),0)-IF(AND(S6&lt;=Assumptions!$F$31,'Pro Forma'!S6&gt;=Assumptions!$E$31),Assumptions!$C$31,0)))</f>
        <v>5289.0156767155077</v>
      </c>
      <c r="T57" s="189">
        <f>IF(T$6&lt;=Assumptions!$F$32,((T$55*Assumptions!$C$32)+IF(AND(Assumptions!$C$56="yes",T$6&lt;=Assumptions!$F$56,T$6&gt;=Assumptions!$E$56),('Pro Forma'!T29)*(1-Assumptions!$C$55),0)+IF(AND(Assumptions!$C$57="yes",T$6&lt;=Assumptions!$F$57,T$6&gt;=Assumptions!$E$57),('Pro Forma'!T$26)*(1-Assumptions!$C$55),0)-IF(AND(T6&lt;=Assumptions!$F$31,'Pro Forma'!T6&gt;=Assumptions!$E$31),Assumptions!$C$31,0)),((T55*Assumptions!$C$33)+IF(AND(Assumptions!$C$56="yes",T$6&lt;=Assumptions!$F$56,T$6&gt;=Assumptions!$E$56),('Pro Forma'!T29)*(1-Assumptions!$C$55),0)+IF(AND(Assumptions!$C$57="yes",T$6&lt;=Assumptions!$F$57,T$6&gt;=Assumptions!$E$57),('Pro Forma'!T26)*(1-Assumptions!$C$55),0)-IF(AND(T6&lt;=Assumptions!$F$31,'Pro Forma'!T6&gt;=Assumptions!$E$31),Assumptions!$C$31,0)))</f>
        <v>5106.4087907885068</v>
      </c>
      <c r="U57" s="189">
        <f>IF(U$6&lt;=Assumptions!$F$32,((U$55*Assumptions!$C$32)+IF(AND(Assumptions!$C$56="yes",U$6&lt;=Assumptions!$F$56,U$6&gt;=Assumptions!$E$56),('Pro Forma'!U29)*(1-Assumptions!$C$55),0)+IF(AND(Assumptions!$C$57="yes",U$6&lt;=Assumptions!$F$57,U$6&gt;=Assumptions!$E$57),('Pro Forma'!U$26)*(1-Assumptions!$C$55),0)-IF(AND(U6&lt;=Assumptions!$F$31,'Pro Forma'!U6&gt;=Assumptions!$E$31),Assumptions!$C$31,0)),((U55*Assumptions!$C$33)+IF(AND(Assumptions!$C$56="yes",U$6&lt;=Assumptions!$F$56,U$6&gt;=Assumptions!$E$56),('Pro Forma'!U29)*(1-Assumptions!$C$55),0)+IF(AND(Assumptions!$C$57="yes",U$6&lt;=Assumptions!$F$57,U$6&gt;=Assumptions!$E$57),('Pro Forma'!U26)*(1-Assumptions!$C$55),0)-IF(AND(U6&lt;=Assumptions!$F$31,'Pro Forma'!U6&gt;=Assumptions!$E$31),Assumptions!$C$31,0)))</f>
        <v>4919.4393383388251</v>
      </c>
      <c r="V57" s="189">
        <f>IF(V$6&lt;=Assumptions!$F$32,((V$55*Assumptions!$C$32)+IF(AND(Assumptions!$C$56="yes",V$6&lt;=Assumptions!$F$56,V$6&gt;=Assumptions!$E$56),('Pro Forma'!V29)*(1-Assumptions!$C$55),0)+IF(AND(Assumptions!$C$57="yes",V$6&lt;=Assumptions!$F$57,V$6&gt;=Assumptions!$E$57),('Pro Forma'!V$26)*(1-Assumptions!$C$55),0)-IF(AND(V6&lt;=Assumptions!$F$31,'Pro Forma'!V6&gt;=Assumptions!$E$31),Assumptions!$C$31,0)),((V55*Assumptions!$C$33)+IF(AND(Assumptions!$C$56="yes",V$6&lt;=Assumptions!$F$56,V$6&gt;=Assumptions!$E$56),('Pro Forma'!V29)*(1-Assumptions!$C$55),0)+IF(AND(Assumptions!$C$57="yes",V$6&lt;=Assumptions!$F$57,V$6&gt;=Assumptions!$E$57),('Pro Forma'!V26)*(1-Assumptions!$C$55),0)-IF(AND(V6&lt;=Assumptions!$F$31,'Pro Forma'!V6&gt;=Assumptions!$E$31),Assumptions!$C$31,0)))</f>
        <v>4728.0368798667314</v>
      </c>
      <c r="W57" s="189">
        <f>IF(W$6&lt;=Assumptions!$F$32,((W$55*Assumptions!$C$32)+IF(AND(Assumptions!$C$56="yes",W$6&lt;=Assumptions!$F$56,W$6&gt;=Assumptions!$E$56),('Pro Forma'!W29)*(1-Assumptions!$C$55),0)+IF(AND(Assumptions!$C$57="yes",W$6&lt;=Assumptions!$F$57,W$6&gt;=Assumptions!$E$57),('Pro Forma'!W$26)*(1-Assumptions!$C$55),0)-IF(AND(W6&lt;=Assumptions!$F$31,'Pro Forma'!W6&gt;=Assumptions!$E$31),Assumptions!$C$31,0)),((W55*Assumptions!$C$33)+IF(AND(Assumptions!$C$56="yes",W$6&lt;=Assumptions!$F$56,W$6&gt;=Assumptions!$E$56),('Pro Forma'!W29)*(1-Assumptions!$C$55),0)+IF(AND(Assumptions!$C$57="yes",W$6&lt;=Assumptions!$F$57,W$6&gt;=Assumptions!$E$57),('Pro Forma'!W26)*(1-Assumptions!$C$55),0)-IF(AND(W6&lt;=Assumptions!$F$31,'Pro Forma'!W6&gt;=Assumptions!$E$31),Assumptions!$C$31,0)))</f>
        <v>0</v>
      </c>
      <c r="X57" s="189">
        <f>IF(X$6&lt;=Assumptions!$F$32,((X$55*Assumptions!$C$32)+IF(AND(Assumptions!$C$56="yes",X$6&lt;=Assumptions!$F$56,X$6&gt;=Assumptions!$E$56),('Pro Forma'!X29)*(1-Assumptions!$C$55),0)+IF(AND(Assumptions!$C$57="yes",X$6&lt;=Assumptions!$F$57,X$6&gt;=Assumptions!$E$57),('Pro Forma'!X$26)*(1-Assumptions!$C$55),0)-IF(AND(X6&lt;=Assumptions!$F$31,'Pro Forma'!X6&gt;=Assumptions!$E$31),Assumptions!$C$31,0)),((X55*Assumptions!$C$33)+IF(AND(Assumptions!$C$56="yes",X$6&lt;=Assumptions!$F$56,X$6&gt;=Assumptions!$E$56),('Pro Forma'!X29)*(1-Assumptions!$C$55),0)+IF(AND(Assumptions!$C$57="yes",X$6&lt;=Assumptions!$F$57,X$6&gt;=Assumptions!$E$57),('Pro Forma'!X26)*(1-Assumptions!$C$55),0)-IF(AND(X6&lt;=Assumptions!$F$31,'Pro Forma'!X6&gt;=Assumptions!$E$31),Assumptions!$C$31,0)))</f>
        <v>0</v>
      </c>
      <c r="Y57" s="189">
        <f>IF(Y$6&lt;=Assumptions!$F$32,((Y$55*Assumptions!$C$32)+IF(AND(Assumptions!$C$56="yes",Y$6&lt;=Assumptions!$F$56,Y$6&gt;=Assumptions!$E$56),('Pro Forma'!Y29)*(1-Assumptions!$C$55),0)+IF(AND(Assumptions!$C$57="yes",Y$6&lt;=Assumptions!$F$57,Y$6&gt;=Assumptions!$E$57),('Pro Forma'!Y$26)*(1-Assumptions!$C$55),0)-IF(AND(Y6&lt;=Assumptions!$F$31,'Pro Forma'!Y6&gt;=Assumptions!$E$31),Assumptions!$C$31,0)),((Y55*Assumptions!$C$33)+IF(AND(Assumptions!$C$56="yes",Y$6&lt;=Assumptions!$F$56,Y$6&gt;=Assumptions!$E$56),('Pro Forma'!Y29)*(1-Assumptions!$C$55),0)+IF(AND(Assumptions!$C$57="yes",Y$6&lt;=Assumptions!$F$57,Y$6&gt;=Assumptions!$E$57),('Pro Forma'!Y26)*(1-Assumptions!$C$55),0)-IF(AND(Y6&lt;=Assumptions!$F$31,'Pro Forma'!Y6&gt;=Assumptions!$E$31),Assumptions!$C$31,0)))</f>
        <v>0</v>
      </c>
      <c r="Z57" s="189">
        <f>IF(Z$6&lt;=Assumptions!$F$32,((Z$55*Assumptions!$C$32)+IF(AND(Assumptions!$C$56="yes",Z$6&lt;=Assumptions!$F$56,Z$6&gt;=Assumptions!$E$56),('Pro Forma'!Z29)*(1-Assumptions!$C$55),0)+IF(AND(Assumptions!$C$57="yes",Z$6&lt;=Assumptions!$F$57,Z$6&gt;=Assumptions!$E$57),('Pro Forma'!Z$26)*(1-Assumptions!$C$55),0)-IF(AND(Z6&lt;=Assumptions!$F$31,'Pro Forma'!Z6&gt;=Assumptions!$E$31),Assumptions!$C$31,0)),((Z55*Assumptions!$C$33)+IF(AND(Assumptions!$C$56="yes",Z$6&lt;=Assumptions!$F$56,Z$6&gt;=Assumptions!$E$56),('Pro Forma'!Z29)*(1-Assumptions!$C$55),0)+IF(AND(Assumptions!$C$57="yes",Z$6&lt;=Assumptions!$F$57,Z$6&gt;=Assumptions!$E$57),('Pro Forma'!Z26)*(1-Assumptions!$C$55),0)-IF(AND(Z6&lt;=Assumptions!$F$31,'Pro Forma'!Z6&gt;=Assumptions!$E$31),Assumptions!$C$31,0)))</f>
        <v>0</v>
      </c>
      <c r="AA57" s="189">
        <f>IF(AA$6&lt;=Assumptions!$F$32,((AA$55*Assumptions!$C$32)+IF(AND(Assumptions!$C$56="yes",AA$6&lt;=Assumptions!$F$56,AA$6&gt;=Assumptions!$E$56),('Pro Forma'!AA29)*(1-Assumptions!$C$55),0)+IF(AND(Assumptions!$C$57="yes",AA$6&lt;=Assumptions!$F$57,AA$6&gt;=Assumptions!$E$57),('Pro Forma'!AA$26)*(1-Assumptions!$C$55),0)-IF(AND(AA6&lt;=Assumptions!$F$31,'Pro Forma'!AA6&gt;=Assumptions!$E$31),Assumptions!$C$31,0)),((AA55*Assumptions!$C$33)+IF(AND(Assumptions!$C$56="yes",AA$6&lt;=Assumptions!$F$56,AA$6&gt;=Assumptions!$E$56),('Pro Forma'!AA29)*(1-Assumptions!$C$55),0)+IF(AND(Assumptions!$C$57="yes",AA$6&lt;=Assumptions!$F$57,AA$6&gt;=Assumptions!$E$57),('Pro Forma'!AA26)*(1-Assumptions!$C$55),0)-IF(AND(AA6&lt;=Assumptions!$F$31,'Pro Forma'!AA6&gt;=Assumptions!$E$31),Assumptions!$C$31,0)))</f>
        <v>0</v>
      </c>
      <c r="AB57" s="174"/>
      <c r="AC57" s="174"/>
      <c r="AD57" s="174"/>
    </row>
    <row r="58" spans="1:30" ht="15.75" customHeight="1" x14ac:dyDescent="0.25">
      <c r="A58" s="191" t="s">
        <v>116</v>
      </c>
      <c r="B58" s="190">
        <f>-Assumptions!C39</f>
        <v>0</v>
      </c>
      <c r="C58" s="189">
        <f>IF(C$6&lt;Assumptions!$E$33,(('Pro Forma'!C55*Assumptions!$C$34)+IF(AND(C6&lt;=Assumptions!$F$31,'Pro Forma'!C6&gt;=Assumptions!$E$31),(1-Assumptions!$C$63)*Assumptions!$C$31,0)),((C55*Assumptions!$C$35)+IF(AND(C6&lt;=Assumptions!$F$31,'Pro Forma'!C6&gt;=Assumptions!$E$31),(1-Assumptions!$C$63)*Assumptions!$C$31,0)))</f>
        <v>0</v>
      </c>
      <c r="D58" s="189">
        <f>IF(D$6&lt;Assumptions!$E$33,(('Pro Forma'!D55*Assumptions!$C$34)+IF(AND(D6&lt;=Assumptions!$F$31,'Pro Forma'!D6&gt;=Assumptions!$E$31),(1-Assumptions!$C$63)*Assumptions!$C$31,0)),((D55*Assumptions!$C$35)+IF(AND(D6&lt;=Assumptions!$F$31,'Pro Forma'!D6&gt;=Assumptions!$E$31),(1-Assumptions!$C$63)*Assumptions!$C$31,0)))</f>
        <v>0</v>
      </c>
      <c r="E58" s="189">
        <f>IF(E$6&lt;Assumptions!$E$33,(('Pro Forma'!E55*Assumptions!$C$34)+IF(AND(E6&lt;=Assumptions!$F$31,'Pro Forma'!E6&gt;=Assumptions!$E$31),(1-Assumptions!$C$63)*Assumptions!$C$31,0)),((E55*Assumptions!$C$35)+IF(AND(E6&lt;=Assumptions!$F$31,'Pro Forma'!E6&gt;=Assumptions!$E$31),(1-Assumptions!$C$63)*Assumptions!$C$31,0)))</f>
        <v>0</v>
      </c>
      <c r="F58" s="189">
        <f>IF(F$6&lt;Assumptions!$E$33,(('Pro Forma'!F55*Assumptions!$C$34)+IF(AND(F6&lt;=Assumptions!$F$31,'Pro Forma'!F6&gt;=Assumptions!$E$31),(1-Assumptions!$C$63)*Assumptions!$C$31,0)),((F55*Assumptions!$C$35)+IF(AND(F6&lt;=Assumptions!$F$31,'Pro Forma'!F6&gt;=Assumptions!$E$31),(1-Assumptions!$C$63)*Assumptions!$C$31,0)))</f>
        <v>0</v>
      </c>
      <c r="G58" s="189">
        <f>IF(G$6&lt;Assumptions!$E$33,(('Pro Forma'!G55*Assumptions!$C$34)+IF(AND(G6&lt;=Assumptions!$F$31,'Pro Forma'!G6&gt;=Assumptions!$E$31),(1-Assumptions!$C$63)*Assumptions!$C$31,0)),((G55*Assumptions!$C$35)+IF(AND(G6&lt;=Assumptions!$F$31,'Pro Forma'!G6&gt;=Assumptions!$E$31),(1-Assumptions!$C$63)*Assumptions!$C$31,0)))</f>
        <v>0</v>
      </c>
      <c r="H58" s="189">
        <f>IF(H$6&lt;Assumptions!$E$33,(('Pro Forma'!H55*Assumptions!$C$34)+IF(AND(H6&lt;=Assumptions!$F$31,'Pro Forma'!H6&gt;=Assumptions!$E$31),(1-Assumptions!$C$63)*Assumptions!$C$31,0)),((H55*Assumptions!$C$35)+IF(AND(H6&lt;=Assumptions!$F$31,'Pro Forma'!H6&gt;=Assumptions!$E$31),(1-Assumptions!$C$63)*Assumptions!$C$31,0)))</f>
        <v>0</v>
      </c>
      <c r="I58" s="189">
        <f>IF(I$6&lt;Assumptions!$E$33,(('Pro Forma'!I55*Assumptions!$C$34)+IF(AND(I6&lt;=Assumptions!$F$31,'Pro Forma'!I6&gt;=Assumptions!$E$31),(1-Assumptions!$C$63)*Assumptions!$C$31,0)),((I55*Assumptions!$C$35)+IF(AND(I6&lt;=Assumptions!$F$31,'Pro Forma'!I6&gt;=Assumptions!$E$31),(1-Assumptions!$C$63)*Assumptions!$C$31,0)))</f>
        <v>0</v>
      </c>
      <c r="J58" s="189">
        <f>IF(J$6&lt;Assumptions!$E$33,(('Pro Forma'!J55*Assumptions!$C$34)+IF(AND(J6&lt;=Assumptions!$F$31,'Pro Forma'!J6&gt;=Assumptions!$E$31),(1-Assumptions!$C$63)*Assumptions!$C$31,0)),((J55*Assumptions!$C$35)+IF(AND(J6&lt;=Assumptions!$F$31,'Pro Forma'!J6&gt;=Assumptions!$E$31),(1-Assumptions!$C$63)*Assumptions!$C$31,0)))</f>
        <v>0</v>
      </c>
      <c r="K58" s="189">
        <f>IF(K$6&lt;Assumptions!$E$33,(('Pro Forma'!K55*Assumptions!$C$34)+IF(AND(K6&lt;=Assumptions!$F$31,'Pro Forma'!K6&gt;=Assumptions!$E$31),(1-Assumptions!$C$63)*Assumptions!$C$31,0)),((K55*Assumptions!$C$35)+IF(AND(K6&lt;=Assumptions!$F$31,'Pro Forma'!K6&gt;=Assumptions!$E$31),(1-Assumptions!$C$63)*Assumptions!$C$31,0)))</f>
        <v>0</v>
      </c>
      <c r="L58" s="189">
        <f>IF(L$6&lt;Assumptions!$E$33,(('Pro Forma'!L55*Assumptions!$C$34)+IF(AND(L6&lt;=Assumptions!$F$31,'Pro Forma'!L6&gt;=Assumptions!$E$31),(1-Assumptions!$C$63)*Assumptions!$C$31,0)),((L55*Assumptions!$C$35)+IF(AND(L6&lt;=Assumptions!$F$31,'Pro Forma'!L6&gt;=Assumptions!$E$31),(1-Assumptions!$C$63)*Assumptions!$C$31,0)))</f>
        <v>0</v>
      </c>
      <c r="M58" s="189">
        <f>IF(M$6&lt;Assumptions!$E$33,(('Pro Forma'!M55*Assumptions!$C$34)+IF(AND(M6&lt;=Assumptions!$F$31,'Pro Forma'!M6&gt;=Assumptions!$E$31),(1-Assumptions!$C$63)*Assumptions!$C$31,0)),((M55*Assumptions!$C$35)+IF(AND(M6&lt;=Assumptions!$F$31,'Pro Forma'!M6&gt;=Assumptions!$E$31),(1-Assumptions!$C$63)*Assumptions!$C$31,0)))</f>
        <v>0</v>
      </c>
      <c r="N58" s="189">
        <f>IF(N$6&lt;Assumptions!$E$33,(('Pro Forma'!N55*Assumptions!$C$34)+IF(AND(N6&lt;=Assumptions!$F$31,'Pro Forma'!N6&gt;=Assumptions!$E$31),(1-Assumptions!$C$63)*Assumptions!$C$31,0)),((N55*Assumptions!$C$35)+IF(AND(N6&lt;=Assumptions!$F$31,'Pro Forma'!N6&gt;=Assumptions!$E$31),(1-Assumptions!$C$63)*Assumptions!$C$31,0)))</f>
        <v>0</v>
      </c>
      <c r="O58" s="189">
        <f>IF(O$6&lt;Assumptions!$E$33,(('Pro Forma'!O55*Assumptions!$C$34)+IF(AND(O6&lt;=Assumptions!$F$31,'Pro Forma'!O6&gt;=Assumptions!$E$31),(1-Assumptions!$C$63)*Assumptions!$C$31,0)),((O55*Assumptions!$C$35)+IF(AND(O6&lt;=Assumptions!$F$31,'Pro Forma'!O6&gt;=Assumptions!$E$31),(1-Assumptions!$C$63)*Assumptions!$C$31,0)))</f>
        <v>0</v>
      </c>
      <c r="P58" s="189">
        <f>IF(P$6&lt;Assumptions!$E$33,(('Pro Forma'!P55*Assumptions!$C$34)+IF(AND(P6&lt;=Assumptions!$F$31,'Pro Forma'!P6&gt;=Assumptions!$E$31),(1-Assumptions!$C$63)*Assumptions!$C$31,0)),((P55*Assumptions!$C$35)+IF(AND(P6&lt;=Assumptions!$F$31,'Pro Forma'!P6&gt;=Assumptions!$E$31),(1-Assumptions!$C$63)*Assumptions!$C$31,0)))</f>
        <v>0</v>
      </c>
      <c r="Q58" s="189">
        <f>IF(Q$6&lt;Assumptions!$E$33,(('Pro Forma'!Q55*Assumptions!$C$34)+IF(AND(Q6&lt;=Assumptions!$F$31,'Pro Forma'!Q6&gt;=Assumptions!$E$31),(1-Assumptions!$C$63)*Assumptions!$C$31,0)),((Q55*Assumptions!$C$35)+IF(AND(Q6&lt;=Assumptions!$F$31,'Pro Forma'!Q6&gt;=Assumptions!$E$31),(1-Assumptions!$C$63)*Assumptions!$C$31,0)))</f>
        <v>0</v>
      </c>
      <c r="R58" s="189">
        <f>IF(R$6&lt;Assumptions!$E$33,(('Pro Forma'!R55*Assumptions!$C$34)+IF(AND(R6&lt;=Assumptions!$F$31,'Pro Forma'!R6&gt;=Assumptions!$E$31),(1-Assumptions!$C$63)*Assumptions!$C$31,0)),((R55*Assumptions!$C$35)+IF(AND(R6&lt;=Assumptions!$F$31,'Pro Forma'!R6&gt;=Assumptions!$E$31),(1-Assumptions!$C$63)*Assumptions!$C$31,0)))</f>
        <v>0</v>
      </c>
      <c r="S58" s="189">
        <f>IF(S$6&lt;Assumptions!$E$33,(('Pro Forma'!S55*Assumptions!$C$34)+IF(AND(S6&lt;=Assumptions!$F$31,'Pro Forma'!S6&gt;=Assumptions!$E$31),(1-Assumptions!$C$63)*Assumptions!$C$31,0)),((S55*Assumptions!$C$35)+IF(AND(S6&lt;=Assumptions!$F$31,'Pro Forma'!S6&gt;=Assumptions!$E$31),(1-Assumptions!$C$63)*Assumptions!$C$31,0)))</f>
        <v>0</v>
      </c>
      <c r="T58" s="189">
        <f>IF(T$6&lt;Assumptions!$E$33,(('Pro Forma'!T55*Assumptions!$C$34)+IF(AND(T6&lt;=Assumptions!$F$31,'Pro Forma'!T6&gt;=Assumptions!$E$31),(1-Assumptions!$C$63)*Assumptions!$C$31,0)),((T55*Assumptions!$C$35)+IF(AND(T6&lt;=Assumptions!$F$31,'Pro Forma'!T6&gt;=Assumptions!$E$31),(1-Assumptions!$C$63)*Assumptions!$C$31,0)))</f>
        <v>0</v>
      </c>
      <c r="U58" s="189">
        <f>IF(U$6&lt;Assumptions!$E$33,(('Pro Forma'!U55*Assumptions!$C$34)+IF(AND(U6&lt;=Assumptions!$F$31,'Pro Forma'!U6&gt;=Assumptions!$E$31),(1-Assumptions!$C$63)*Assumptions!$C$31,0)),((U55*Assumptions!$C$35)+IF(AND(U6&lt;=Assumptions!$F$31,'Pro Forma'!U6&gt;=Assumptions!$E$31),(1-Assumptions!$C$63)*Assumptions!$C$31,0)))</f>
        <v>0</v>
      </c>
      <c r="V58" s="189">
        <f>IF(V$6&lt;Assumptions!$E$33,(('Pro Forma'!V55*Assumptions!$C$34)+IF(AND(V6&lt;=Assumptions!$F$31,'Pro Forma'!V6&gt;=Assumptions!$E$31),(1-Assumptions!$C$63)*Assumptions!$C$31,0)),((V55*Assumptions!$C$35)+IF(AND(V6&lt;=Assumptions!$F$31,'Pro Forma'!V6&gt;=Assumptions!$E$31),(1-Assumptions!$C$63)*Assumptions!$C$31,0)))</f>
        <v>0</v>
      </c>
      <c r="W58" s="189">
        <f>IF(W$6&lt;Assumptions!$E$33,(('Pro Forma'!W55*Assumptions!$C$34)+IF(AND(W6&lt;=Assumptions!$F$31,'Pro Forma'!W6&gt;=Assumptions!$E$31),(1-Assumptions!$C$63)*Assumptions!$C$31,0)),((W55*Assumptions!$C$35)+IF(AND(W6&lt;=Assumptions!$F$31,'Pro Forma'!W6&gt;=Assumptions!$E$31),(1-Assumptions!$C$63)*Assumptions!$C$31,0)))</f>
        <v>0</v>
      </c>
      <c r="X58" s="189">
        <f>IF(X$6&lt;Assumptions!$E$33,(('Pro Forma'!X55*Assumptions!$C$34)+IF(AND(X6&lt;=Assumptions!$F$31,'Pro Forma'!X6&gt;=Assumptions!$E$31),(1-Assumptions!$C$63)*Assumptions!$C$31,0)),((X55*Assumptions!$C$35)+IF(AND(X6&lt;=Assumptions!$F$31,'Pro Forma'!X6&gt;=Assumptions!$E$31),(1-Assumptions!$C$63)*Assumptions!$C$31,0)))</f>
        <v>0</v>
      </c>
      <c r="Y58" s="189">
        <f>IF(Y$6&lt;Assumptions!$E$33,(('Pro Forma'!Y55*Assumptions!$C$34)+IF(AND(Y6&lt;=Assumptions!$F$31,'Pro Forma'!Y6&gt;=Assumptions!$E$31),(1-Assumptions!$C$63)*Assumptions!$C$31,0)),((Y55*Assumptions!$C$35)+IF(AND(Y6&lt;=Assumptions!$F$31,'Pro Forma'!Y6&gt;=Assumptions!$E$31),(1-Assumptions!$C$63)*Assumptions!$C$31,0)))</f>
        <v>0</v>
      </c>
      <c r="Z58" s="189">
        <f>IF(Z$6&lt;Assumptions!$E$33,(('Pro Forma'!Z55*Assumptions!$C$34)+IF(AND(Z6&lt;=Assumptions!$F$31,'Pro Forma'!Z6&gt;=Assumptions!$E$31),(1-Assumptions!$C$63)*Assumptions!$C$31,0)),((Z55*Assumptions!$C$35)+IF(AND(Z6&lt;=Assumptions!$F$31,'Pro Forma'!Z6&gt;=Assumptions!$E$31),(1-Assumptions!$C$63)*Assumptions!$C$31,0)))</f>
        <v>0</v>
      </c>
      <c r="AA58" s="189">
        <f>IF(AA$6&lt;Assumptions!$E$33,(('Pro Forma'!AA55*Assumptions!$C$34)+IF(AND(AA6&lt;=Assumptions!$F$31,'Pro Forma'!AA6&gt;=Assumptions!$E$31),(1-Assumptions!$C$63)*Assumptions!$C$31,0)),((AA55*Assumptions!$C$35)+IF(AND(AA6&lt;=Assumptions!$F$31,'Pro Forma'!AA6&gt;=Assumptions!$E$31),(1-Assumptions!$C$63)*Assumptions!$C$31,0)))</f>
        <v>0</v>
      </c>
      <c r="AB58" s="174"/>
      <c r="AC58" s="174"/>
      <c r="AD58" s="174"/>
    </row>
    <row r="59" spans="1:30" ht="15.75" customHeight="1" x14ac:dyDescent="0.25">
      <c r="A59" s="171"/>
      <c r="B59" s="17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74"/>
      <c r="AC59" s="174"/>
      <c r="AD59" s="174"/>
    </row>
    <row r="60" spans="1:30" ht="15.75" customHeight="1" x14ac:dyDescent="0.25">
      <c r="A60" s="171"/>
      <c r="B60" s="177"/>
      <c r="C60" s="177"/>
      <c r="D60" s="177"/>
      <c r="E60" s="177"/>
      <c r="F60" s="177"/>
      <c r="G60" s="177"/>
      <c r="H60" s="177"/>
      <c r="I60" s="177"/>
      <c r="J60" s="177"/>
      <c r="K60" s="177"/>
      <c r="L60" s="177"/>
      <c r="M60" s="187"/>
      <c r="N60" s="186"/>
      <c r="O60" s="175"/>
      <c r="P60" s="175"/>
      <c r="Q60" s="175"/>
      <c r="R60" s="175"/>
      <c r="S60" s="175"/>
      <c r="T60" s="175"/>
      <c r="U60" s="175"/>
      <c r="V60" s="175"/>
      <c r="W60" s="175"/>
      <c r="X60" s="175"/>
      <c r="Y60" s="175"/>
      <c r="Z60" s="175"/>
      <c r="AA60" s="175"/>
      <c r="AB60" s="174"/>
      <c r="AC60" s="174"/>
      <c r="AD60" s="174"/>
    </row>
    <row r="61" spans="1:30" ht="15.75" customHeight="1" x14ac:dyDescent="0.25">
      <c r="A61" s="173" t="s">
        <v>115</v>
      </c>
      <c r="B61" s="174"/>
      <c r="C61" s="174"/>
      <c r="E61" s="185"/>
      <c r="F61" s="185"/>
      <c r="G61" s="185"/>
      <c r="H61" s="185"/>
      <c r="I61" s="185"/>
      <c r="J61" s="185"/>
      <c r="K61" s="185"/>
      <c r="L61" s="185"/>
      <c r="M61" s="184"/>
      <c r="N61" s="183"/>
      <c r="O61" s="174"/>
      <c r="P61" s="174"/>
      <c r="Q61" s="174"/>
      <c r="R61" s="174"/>
      <c r="S61" s="174"/>
      <c r="T61" s="174"/>
      <c r="U61" s="174"/>
      <c r="V61" s="174"/>
      <c r="W61" s="174"/>
      <c r="X61" s="174"/>
      <c r="Y61" s="174"/>
      <c r="Z61" s="174"/>
      <c r="AA61" s="174"/>
      <c r="AB61" s="174"/>
      <c r="AC61" s="174"/>
      <c r="AD61" s="174"/>
    </row>
    <row r="62" spans="1:30" ht="15.75" customHeight="1" x14ac:dyDescent="0.25">
      <c r="A62" s="96" t="s">
        <v>30</v>
      </c>
      <c r="B62" s="182">
        <f>SUM('Pro Forma'!C24:AA24)/SUM('Pro Forma'!C21:AA21)</f>
        <v>9.2766720751214934E-2</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row>
    <row r="63" spans="1:30" ht="15.75" customHeight="1" x14ac:dyDescent="0.25">
      <c r="A63" s="96" t="s">
        <v>114</v>
      </c>
      <c r="B63" s="273">
        <f>Assumptions!C19/Assumptions!C14</f>
        <v>2110.3896103896104</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row>
    <row r="64" spans="1:30" ht="15.75" customHeight="1" x14ac:dyDescent="0.25">
      <c r="A64" s="96" t="s">
        <v>164</v>
      </c>
      <c r="B64" s="181">
        <f>IRR(B55:AA55,12%)</f>
        <v>4.0310478618460488E-2</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row>
    <row r="65" spans="1:30" ht="15.75" customHeight="1" x14ac:dyDescent="0.25">
      <c r="A65" s="171" t="s">
        <v>165</v>
      </c>
      <c r="B65" s="274">
        <f>NPV(Assumptions!C54,C55:AA55)+B55</f>
        <v>32761.301387497588</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row>
    <row r="66" spans="1:30" ht="15.75" customHeight="1" x14ac:dyDescent="0.25">
      <c r="A66" s="173" t="s">
        <v>113</v>
      </c>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row>
    <row r="67" spans="1:30" ht="15.75" customHeight="1" x14ac:dyDescent="0.25">
      <c r="A67" s="171" t="s">
        <v>109</v>
      </c>
      <c r="B67" s="174"/>
      <c r="C67" s="180">
        <f>IRR($B$57:C$57)</f>
        <v>-0.90165189743589735</v>
      </c>
      <c r="D67" s="180">
        <f>IRR($B$57:D$57,C67)</f>
        <v>-0.63585428819950507</v>
      </c>
      <c r="E67" s="180">
        <f>IRR($B$57:E$57,D67)</f>
        <v>-0.43379501249034214</v>
      </c>
      <c r="F67" s="180">
        <f>IRR($B$57:F$57,E67)</f>
        <v>-0.29876822571497308</v>
      </c>
      <c r="G67" s="180">
        <f>IRR($B$57:G$57,F67)</f>
        <v>-0.20740517037528439</v>
      </c>
      <c r="H67" s="180">
        <f>IRR($B$57:H$57,G67)</f>
        <v>-0.14358662661961941</v>
      </c>
      <c r="I67" s="180">
        <f>IRR($B$57:I$57,H67)</f>
        <v>-9.7583999831814983E-2</v>
      </c>
      <c r="J67" s="180">
        <f>IRR($B$57:J$57,I67)</f>
        <v>-6.350045145917238E-2</v>
      </c>
      <c r="K67" s="180">
        <f>IRR($B$57:K$57,J67)</f>
        <v>-3.7653397480816975E-2</v>
      </c>
      <c r="L67" s="180">
        <f>IRR($B$57:L$57,K67)</f>
        <v>-1.7664545158252776E-2</v>
      </c>
      <c r="M67" s="180">
        <f>IRR($B$57:M$57,L67)</f>
        <v>-1.9483954313872509E-3</v>
      </c>
      <c r="N67" s="180">
        <f>IRR($B$57:N$57,M67)</f>
        <v>1.0582688499868542E-2</v>
      </c>
      <c r="O67" s="180">
        <f>IRR($B$57:O$57,N67)</f>
        <v>2.0693970552103425E-2</v>
      </c>
      <c r="P67" s="180">
        <f>IRR($B$57:P$57,O67)</f>
        <v>2.8936086608408962E-2</v>
      </c>
      <c r="Q67" s="180">
        <f>IRR($B$57:Q$57,P67)</f>
        <v>3.5713166425008547E-2</v>
      </c>
      <c r="R67" s="180">
        <f>IRR($B$57:R$57,Q67)</f>
        <v>4.1327074868867442E-2</v>
      </c>
      <c r="S67" s="180">
        <f>IRR($B$57:S$57,R67)</f>
        <v>4.6006850929279697E-2</v>
      </c>
      <c r="T67" s="180">
        <f>IRR($B$57:T$57,S67)</f>
        <v>4.9928732109796758E-2</v>
      </c>
      <c r="U67" s="180">
        <f>IRR($B$57:U$57,T67)</f>
        <v>5.3230048271882158E-2</v>
      </c>
      <c r="V67" s="180">
        <f>IRR($B$57:V$57,U67)</f>
        <v>5.6019036915897047E-2</v>
      </c>
      <c r="W67" s="180">
        <f>IRR($B$57:W$57,V67)</f>
        <v>5.6019036915898823E-2</v>
      </c>
      <c r="X67" s="180">
        <f>IRR($B$57:X$57,W67)</f>
        <v>5.6019036915898823E-2</v>
      </c>
      <c r="Y67" s="180">
        <f>IRR($B$57:Y$57,X67)</f>
        <v>5.6019036915898823E-2</v>
      </c>
      <c r="Z67" s="180">
        <f>IRR($B$57:Z$57,Y67)</f>
        <v>5.6019036915898823E-2</v>
      </c>
      <c r="AA67" s="180">
        <f>IRR($B$57:AA$57,Z67)</f>
        <v>5.6019036915898823E-2</v>
      </c>
      <c r="AB67" s="174"/>
      <c r="AC67" s="174"/>
      <c r="AD67" s="174"/>
    </row>
    <row r="68" spans="1:30" ht="15.75" customHeight="1" x14ac:dyDescent="0.25">
      <c r="A68" s="96" t="s">
        <v>112</v>
      </c>
      <c r="B68" s="180">
        <f>IRR(B57:AA57,Assumptions!C54)</f>
        <v>5.6019036915898601E-2</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row>
    <row r="69" spans="1:30" ht="15.75" customHeight="1" x14ac:dyDescent="0.25">
      <c r="A69" s="96" t="s">
        <v>107</v>
      </c>
      <c r="B69" s="274">
        <f>NPV(Assumptions!C54,C57:AA57)+B57</f>
        <v>48199.783155920493</v>
      </c>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row>
    <row r="70" spans="1:30" ht="15.75" customHeight="1" x14ac:dyDescent="0.25">
      <c r="A70" s="173" t="s">
        <v>111</v>
      </c>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row>
    <row r="71" spans="1:30" ht="15.75" customHeight="1" x14ac:dyDescent="0.25">
      <c r="A71" s="171" t="s">
        <v>110</v>
      </c>
      <c r="B71" s="180">
        <f>Assumptions!C64</f>
        <v>0</v>
      </c>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row>
    <row r="72" spans="1:30" ht="15.75" customHeight="1" x14ac:dyDescent="0.25">
      <c r="A72" s="171" t="s">
        <v>109</v>
      </c>
      <c r="B72" s="169"/>
      <c r="C72" s="180" t="e">
        <f>IRR($B$58:C$58,-90%)</f>
        <v>#NUM!</v>
      </c>
      <c r="D72" s="180" t="e">
        <f>IRR($B$58:D$58,C72)</f>
        <v>#NUM!</v>
      </c>
      <c r="E72" s="180" t="e">
        <f>IRR($B$58:E$58,D72)</f>
        <v>#NUM!</v>
      </c>
      <c r="F72" s="180" t="e">
        <f>IRR($B$58:F$58,E72)</f>
        <v>#NUM!</v>
      </c>
      <c r="G72" s="180" t="e">
        <f>IRR($B$58:G$58,F72)</f>
        <v>#NUM!</v>
      </c>
      <c r="H72" s="180" t="e">
        <f>IRR($B$58:H$58,G72)</f>
        <v>#NUM!</v>
      </c>
      <c r="I72" s="180" t="e">
        <f>IRR($B$58:I$58,H72)</f>
        <v>#NUM!</v>
      </c>
      <c r="J72" s="180" t="e">
        <f>IRR($B$58:J$58,I72)</f>
        <v>#NUM!</v>
      </c>
      <c r="K72" s="180" t="e">
        <f>IRR($B$58:K$58,J72)</f>
        <v>#NUM!</v>
      </c>
      <c r="L72" s="180" t="e">
        <f>IRR($B$58:L$58,K72)</f>
        <v>#NUM!</v>
      </c>
      <c r="M72" s="180" t="e">
        <f>IRR($B$58:M$58,L72)</f>
        <v>#NUM!</v>
      </c>
      <c r="N72" s="180" t="e">
        <f>IRR($B$58:N$58,M72)</f>
        <v>#NUM!</v>
      </c>
      <c r="O72" s="180" t="e">
        <f>IRR($B$58:O$58,N72)</f>
        <v>#NUM!</v>
      </c>
      <c r="P72" s="180" t="e">
        <f>IRR($B$58:P$58,O72)</f>
        <v>#NUM!</v>
      </c>
      <c r="Q72" s="180" t="e">
        <f>IRR($B$58:Q$58,P72)</f>
        <v>#NUM!</v>
      </c>
      <c r="R72" s="180" t="e">
        <f>IRR($B$58:R$58,Q72)</f>
        <v>#NUM!</v>
      </c>
      <c r="S72" s="180" t="e">
        <f>IRR($B$58:S$58,R72)</f>
        <v>#NUM!</v>
      </c>
      <c r="T72" s="180" t="e">
        <f>IRR($B$58:T$58,S72)</f>
        <v>#NUM!</v>
      </c>
      <c r="U72" s="180" t="e">
        <f>IRR($B$58:U$58,T72)</f>
        <v>#NUM!</v>
      </c>
      <c r="V72" s="180" t="e">
        <f>IRR($B$58:V$58,U72)</f>
        <v>#NUM!</v>
      </c>
      <c r="W72" s="180" t="e">
        <f>IRR($B$58:W$58,V72)</f>
        <v>#NUM!</v>
      </c>
      <c r="X72" s="180" t="e">
        <f>IRR($B$58:X$58,W72)</f>
        <v>#NUM!</v>
      </c>
      <c r="Y72" s="180" t="e">
        <f>IRR($B$58:Y$58,X72)</f>
        <v>#NUM!</v>
      </c>
      <c r="Z72" s="180" t="e">
        <f>IRR($B$58:Z$58,Y72)</f>
        <v>#NUM!</v>
      </c>
      <c r="AA72" s="180" t="e">
        <f>IRR($B$58:AA$58,Z72)</f>
        <v>#NUM!</v>
      </c>
      <c r="AB72" s="174"/>
      <c r="AC72" s="174"/>
      <c r="AD72" s="174"/>
    </row>
    <row r="73" spans="1:30" ht="15.75" customHeight="1" x14ac:dyDescent="0.25">
      <c r="A73" s="96" t="s">
        <v>108</v>
      </c>
      <c r="B73" s="179" t="e">
        <f>IRR(B58:AA58,Assumptions!C62)</f>
        <v>#NUM!</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row>
    <row r="74" spans="1:30" ht="15.75" customHeight="1" x14ac:dyDescent="0.25">
      <c r="A74" s="96" t="s">
        <v>107</v>
      </c>
      <c r="B74" s="274">
        <f>NPV(Assumptions!C62,C58:AA58)+B58</f>
        <v>0</v>
      </c>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row>
    <row r="75" spans="1:30" ht="15.75" customHeight="1" x14ac:dyDescent="0.25">
      <c r="A75" s="173" t="s">
        <v>106</v>
      </c>
      <c r="B75" s="178"/>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4"/>
      <c r="AC75" s="174"/>
      <c r="AD75" s="174"/>
    </row>
    <row r="76" spans="1:30" ht="15.75" customHeight="1" x14ac:dyDescent="0.25">
      <c r="A76" s="171" t="s">
        <v>105</v>
      </c>
      <c r="B76" s="177"/>
      <c r="C76" s="176">
        <f t="shared" ref="C76:AA76" si="17">IF(C41=0,0,(C44+C41+C53+C40)/(C41+C53))</f>
        <v>0</v>
      </c>
      <c r="D76" s="176">
        <f t="shared" si="17"/>
        <v>0</v>
      </c>
      <c r="E76" s="176">
        <f t="shared" si="17"/>
        <v>0</v>
      </c>
      <c r="F76" s="176">
        <f t="shared" si="17"/>
        <v>0</v>
      </c>
      <c r="G76" s="176">
        <f t="shared" si="17"/>
        <v>0</v>
      </c>
      <c r="H76" s="176">
        <f t="shared" si="17"/>
        <v>0</v>
      </c>
      <c r="I76" s="176">
        <f t="shared" si="17"/>
        <v>0</v>
      </c>
      <c r="J76" s="176">
        <f t="shared" si="17"/>
        <v>0</v>
      </c>
      <c r="K76" s="176">
        <f t="shared" si="17"/>
        <v>0</v>
      </c>
      <c r="L76" s="176">
        <f t="shared" si="17"/>
        <v>0</v>
      </c>
      <c r="M76" s="176">
        <f t="shared" si="17"/>
        <v>0</v>
      </c>
      <c r="N76" s="176">
        <f t="shared" si="17"/>
        <v>0</v>
      </c>
      <c r="O76" s="176">
        <f t="shared" si="17"/>
        <v>0</v>
      </c>
      <c r="P76" s="176">
        <f t="shared" si="17"/>
        <v>0</v>
      </c>
      <c r="Q76" s="176">
        <f t="shared" si="17"/>
        <v>0</v>
      </c>
      <c r="R76" s="176">
        <f t="shared" si="17"/>
        <v>0</v>
      </c>
      <c r="S76" s="176">
        <f t="shared" si="17"/>
        <v>0</v>
      </c>
      <c r="T76" s="176">
        <f t="shared" si="17"/>
        <v>0</v>
      </c>
      <c r="U76" s="176">
        <f t="shared" si="17"/>
        <v>0</v>
      </c>
      <c r="V76" s="176">
        <f t="shared" si="17"/>
        <v>0</v>
      </c>
      <c r="W76" s="176">
        <f t="shared" si="17"/>
        <v>0</v>
      </c>
      <c r="X76" s="176">
        <f t="shared" si="17"/>
        <v>0</v>
      </c>
      <c r="Y76" s="176">
        <f t="shared" si="17"/>
        <v>0</v>
      </c>
      <c r="Z76" s="176">
        <f t="shared" si="17"/>
        <v>0</v>
      </c>
      <c r="AA76" s="176">
        <f t="shared" si="17"/>
        <v>0</v>
      </c>
      <c r="AB76" s="174"/>
      <c r="AC76" s="174"/>
      <c r="AD76" s="174"/>
    </row>
    <row r="77" spans="1:30" ht="15.75" customHeight="1" x14ac:dyDescent="0.2"/>
    <row r="78" spans="1:30" ht="15.75" customHeight="1" x14ac:dyDescent="0.25">
      <c r="A78" s="173" t="s">
        <v>104</v>
      </c>
      <c r="C78" s="172"/>
    </row>
    <row r="79" spans="1:30" ht="15.75" customHeight="1" x14ac:dyDescent="0.25">
      <c r="A79" s="171" t="s">
        <v>103</v>
      </c>
      <c r="C79" s="170">
        <f>SUM(C33:C34)</f>
        <v>0</v>
      </c>
      <c r="D79" s="170">
        <f t="shared" ref="D79:AA79" si="18">C79+SUM(D33:D34)</f>
        <v>0</v>
      </c>
      <c r="E79" s="170">
        <f t="shared" si="18"/>
        <v>0</v>
      </c>
      <c r="F79" s="170">
        <f t="shared" si="18"/>
        <v>0</v>
      </c>
      <c r="G79" s="170">
        <f t="shared" si="18"/>
        <v>0</v>
      </c>
      <c r="H79" s="170">
        <f t="shared" si="18"/>
        <v>0</v>
      </c>
      <c r="I79" s="170">
        <f t="shared" si="18"/>
        <v>0</v>
      </c>
      <c r="J79" s="170">
        <f t="shared" si="18"/>
        <v>0</v>
      </c>
      <c r="K79" s="170">
        <f t="shared" si="18"/>
        <v>0</v>
      </c>
      <c r="L79" s="170">
        <f t="shared" si="18"/>
        <v>0</v>
      </c>
      <c r="M79" s="170">
        <f t="shared" si="18"/>
        <v>0</v>
      </c>
      <c r="N79" s="170">
        <f t="shared" si="18"/>
        <v>0</v>
      </c>
      <c r="O79" s="170">
        <f t="shared" si="18"/>
        <v>0</v>
      </c>
      <c r="P79" s="170">
        <f t="shared" si="18"/>
        <v>0</v>
      </c>
      <c r="Q79" s="170">
        <f t="shared" si="18"/>
        <v>0</v>
      </c>
      <c r="R79" s="170">
        <f t="shared" si="18"/>
        <v>0</v>
      </c>
      <c r="S79" s="170">
        <f t="shared" si="18"/>
        <v>0</v>
      </c>
      <c r="T79" s="170">
        <f t="shared" si="18"/>
        <v>0</v>
      </c>
      <c r="U79" s="170">
        <f t="shared" si="18"/>
        <v>0</v>
      </c>
      <c r="V79" s="170">
        <f t="shared" si="18"/>
        <v>0</v>
      </c>
      <c r="W79" s="170">
        <f t="shared" si="18"/>
        <v>0</v>
      </c>
      <c r="X79" s="170">
        <f t="shared" si="18"/>
        <v>0</v>
      </c>
      <c r="Y79" s="170">
        <f t="shared" si="18"/>
        <v>0</v>
      </c>
      <c r="Z79" s="170">
        <f t="shared" si="18"/>
        <v>0</v>
      </c>
      <c r="AA79" s="170">
        <f t="shared" si="18"/>
        <v>0</v>
      </c>
    </row>
    <row r="80" spans="1:30" ht="15.75" x14ac:dyDescent="0.25">
      <c r="A80" s="171" t="s">
        <v>102</v>
      </c>
      <c r="C80" s="170">
        <f>C25</f>
        <v>328</v>
      </c>
      <c r="D80" s="170">
        <f t="shared" ref="D80:AA80" si="19">C80+D25</f>
        <v>660.92</v>
      </c>
      <c r="E80" s="170">
        <f t="shared" si="19"/>
        <v>998.83379999999988</v>
      </c>
      <c r="F80" s="170">
        <f t="shared" si="19"/>
        <v>1341.8163069999998</v>
      </c>
      <c r="G80" s="170">
        <f t="shared" si="19"/>
        <v>1689.9435516049996</v>
      </c>
      <c r="H80" s="170">
        <f t="shared" si="19"/>
        <v>2043.2927048790743</v>
      </c>
      <c r="I80" s="170">
        <f t="shared" si="19"/>
        <v>2401.9420954522602</v>
      </c>
      <c r="J80" s="170">
        <f t="shared" si="19"/>
        <v>2765.971226884044</v>
      </c>
      <c r="K80" s="170">
        <f t="shared" si="19"/>
        <v>3135.4607952873043</v>
      </c>
      <c r="L80" s="170">
        <f t="shared" si="19"/>
        <v>3510.4927072166133</v>
      </c>
      <c r="M80" s="170">
        <f t="shared" si="19"/>
        <v>3891.1500978248619</v>
      </c>
      <c r="N80" s="170">
        <f t="shared" si="19"/>
        <v>4277.517349292234</v>
      </c>
      <c r="O80" s="170">
        <f t="shared" si="19"/>
        <v>4669.6801095316168</v>
      </c>
      <c r="P80" s="170">
        <f t="shared" si="19"/>
        <v>5067.7253111745904</v>
      </c>
      <c r="Q80" s="170">
        <f t="shared" si="19"/>
        <v>5471.7411908422082</v>
      </c>
      <c r="R80" s="170">
        <f t="shared" si="19"/>
        <v>5881.8173087048408</v>
      </c>
      <c r="S80" s="170">
        <f t="shared" si="19"/>
        <v>6298.0445683354128</v>
      </c>
      <c r="T80" s="170">
        <f t="shared" si="19"/>
        <v>6720.5152368604431</v>
      </c>
      <c r="U80" s="170">
        <f t="shared" si="19"/>
        <v>7149.3229654133484</v>
      </c>
      <c r="V80" s="170">
        <f t="shared" si="19"/>
        <v>7584.5628098945472</v>
      </c>
      <c r="W80" s="170">
        <f t="shared" si="19"/>
        <v>7584.5628098945472</v>
      </c>
      <c r="X80" s="170">
        <f t="shared" si="19"/>
        <v>7584.5628098945472</v>
      </c>
      <c r="Y80" s="170">
        <f t="shared" si="19"/>
        <v>7584.5628098945472</v>
      </c>
      <c r="Z80" s="170">
        <f t="shared" si="19"/>
        <v>7584.5628098945472</v>
      </c>
      <c r="AA80" s="170">
        <f t="shared" si="19"/>
        <v>7584.5628098945472</v>
      </c>
    </row>
    <row r="81" spans="1:3" x14ac:dyDescent="0.2">
      <c r="A81" s="168"/>
    </row>
    <row r="82" spans="1:3" x14ac:dyDescent="0.2">
      <c r="A82" s="168"/>
    </row>
    <row r="83" spans="1:3" x14ac:dyDescent="0.2">
      <c r="A83" s="168"/>
      <c r="C83" s="169"/>
    </row>
    <row r="84" spans="1:3" x14ac:dyDescent="0.2">
      <c r="A84" s="168"/>
    </row>
  </sheetData>
  <sheetProtection algorithmName="SHA-512" hashValue="8Z1u3/q8nWUPw5YJmIW+JBGwBW11QC0RyutNjp1MglWg6w4gaypQI3SF8KS/CENTGWt5Eha3hugqdiUqEsUkrQ==" saltValue="ymSYsIOkE3BeR2oVD6H13A==" spinCount="100000" sheet="1" objects="1" scenarios="1"/>
  <pageMargins left="0.5" right="0.5" top="0.59" bottom="0.25" header="0.18" footer="0.5"/>
  <pageSetup scale="40" fitToWidth="2" orientation="portrait" horizontalDpi="300" verticalDpi="300" r:id="rId1"/>
  <headerFooter alignWithMargins="0">
    <oddHeader>&amp;L&amp;"Verdana,Regular"&amp;14&amp;A Page &amp;P of &amp;N</oddHeader>
    <oddFooter>&amp;L&amp;G&amp;C&amp;"Verdana,Regular"&amp;14 2105 1st Ave S, Minneapolis, MN 55404
Toll Free: 1-800-946-3640  Phone: 612-870-3461  Fax: 612-813-5612
info@windustry.org www.windustry.org</oddFooter>
  </headerFooter>
  <colBreaks count="1" manualBreakCount="1">
    <brk id="12" min="2" max="84" man="1"/>
  </col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5"/>
  <sheetViews>
    <sheetView workbookViewId="0">
      <selection activeCell="S9" sqref="S9"/>
    </sheetView>
  </sheetViews>
  <sheetFormatPr baseColWidth="10" defaultColWidth="8" defaultRowHeight="12.75" x14ac:dyDescent="0.2"/>
  <cols>
    <col min="1" max="1" width="32.625" style="223" customWidth="1"/>
    <col min="2" max="21" width="10.625" style="223" customWidth="1"/>
    <col min="22" max="22" width="12.125" style="223" customWidth="1"/>
    <col min="23" max="43" width="11.625" style="223" customWidth="1"/>
    <col min="44" max="16384" width="8" style="223"/>
  </cols>
  <sheetData>
    <row r="1" spans="1:26" x14ac:dyDescent="0.2">
      <c r="A1" s="235"/>
      <c r="B1" s="235"/>
      <c r="C1" s="235"/>
      <c r="D1" s="235"/>
      <c r="E1" s="235"/>
      <c r="F1" s="235"/>
      <c r="G1" s="235"/>
    </row>
    <row r="2" spans="1:26" x14ac:dyDescent="0.2">
      <c r="A2" s="235"/>
      <c r="B2" s="235"/>
      <c r="C2" s="235"/>
      <c r="D2" s="235"/>
      <c r="E2" s="235"/>
      <c r="F2" s="235"/>
      <c r="G2" s="235"/>
    </row>
    <row r="3" spans="1:26" x14ac:dyDescent="0.2">
      <c r="G3" s="228"/>
    </row>
    <row r="4" spans="1:26" ht="13.5" thickBot="1" x14ac:dyDescent="0.25">
      <c r="G4" s="228"/>
    </row>
    <row r="5" spans="1:26" ht="20.25" x14ac:dyDescent="0.3">
      <c r="A5" s="230" t="s">
        <v>152</v>
      </c>
      <c r="B5" s="245"/>
      <c r="C5" s="245"/>
      <c r="D5" s="245"/>
      <c r="E5" s="245"/>
      <c r="F5" s="245"/>
      <c r="G5" s="237"/>
      <c r="H5" s="245"/>
      <c r="I5" s="245"/>
      <c r="J5" s="245"/>
      <c r="K5" s="245"/>
      <c r="L5" s="245"/>
      <c r="M5" s="245"/>
      <c r="N5" s="245"/>
      <c r="O5" s="245"/>
      <c r="P5" s="245"/>
      <c r="Q5" s="245"/>
      <c r="R5" s="245"/>
      <c r="S5" s="245"/>
      <c r="T5" s="245"/>
      <c r="U5" s="245"/>
      <c r="V5" s="245"/>
      <c r="W5" s="245"/>
      <c r="X5" s="245"/>
      <c r="Y5" s="245"/>
      <c r="Z5" s="236"/>
    </row>
    <row r="6" spans="1:26" x14ac:dyDescent="0.2">
      <c r="A6" s="250"/>
      <c r="G6" s="228"/>
      <c r="Z6" s="233"/>
    </row>
    <row r="7" spans="1:26" x14ac:dyDescent="0.2">
      <c r="A7" s="226" t="s">
        <v>144</v>
      </c>
      <c r="B7" s="229">
        <f>Assumptions!$C$19-Assumptions!$C$37-Assumptions!$C$36</f>
        <v>78000</v>
      </c>
      <c r="G7" s="228"/>
      <c r="Z7" s="233"/>
    </row>
    <row r="8" spans="1:26" x14ac:dyDescent="0.2">
      <c r="A8" s="226" t="s">
        <v>151</v>
      </c>
      <c r="B8" s="249">
        <f>Assumptions!C20</f>
        <v>20</v>
      </c>
      <c r="G8" s="228"/>
      <c r="Z8" s="233"/>
    </row>
    <row r="9" spans="1:26" s="33" customFormat="1" ht="16.5" customHeight="1" x14ac:dyDescent="0.25">
      <c r="A9" s="248" t="s">
        <v>62</v>
      </c>
      <c r="B9" s="244">
        <v>1</v>
      </c>
      <c r="C9" s="244">
        <v>2</v>
      </c>
      <c r="D9" s="244">
        <v>3</v>
      </c>
      <c r="E9" s="244">
        <v>4</v>
      </c>
      <c r="F9" s="244">
        <v>5</v>
      </c>
      <c r="G9" s="244">
        <v>6</v>
      </c>
      <c r="H9" s="244">
        <v>7</v>
      </c>
      <c r="I9" s="244">
        <v>8</v>
      </c>
      <c r="J9" s="244">
        <v>9</v>
      </c>
      <c r="K9" s="244">
        <v>10</v>
      </c>
      <c r="L9" s="244">
        <v>11</v>
      </c>
      <c r="M9" s="244">
        <v>12</v>
      </c>
      <c r="N9" s="244">
        <v>13</v>
      </c>
      <c r="O9" s="244">
        <v>14</v>
      </c>
      <c r="P9" s="244">
        <v>15</v>
      </c>
      <c r="Q9" s="244">
        <v>16</v>
      </c>
      <c r="R9" s="244">
        <v>17</v>
      </c>
      <c r="S9" s="244">
        <v>18</v>
      </c>
      <c r="T9" s="244">
        <v>19</v>
      </c>
      <c r="U9" s="244">
        <v>20</v>
      </c>
      <c r="V9" s="244">
        <v>21</v>
      </c>
      <c r="W9" s="244">
        <v>22</v>
      </c>
      <c r="X9" s="244">
        <v>23</v>
      </c>
      <c r="Y9" s="244">
        <v>24</v>
      </c>
      <c r="Z9" s="243">
        <v>25</v>
      </c>
    </row>
    <row r="10" spans="1:26" x14ac:dyDescent="0.2">
      <c r="A10" s="226" t="s">
        <v>143</v>
      </c>
      <c r="B10" s="234">
        <f>B7</f>
        <v>78000</v>
      </c>
      <c r="C10" s="234">
        <f t="shared" ref="C10:U10" si="0">B12</f>
        <v>74100</v>
      </c>
      <c r="D10" s="234">
        <f t="shared" si="0"/>
        <v>70200</v>
      </c>
      <c r="E10" s="234">
        <f t="shared" si="0"/>
        <v>66300</v>
      </c>
      <c r="F10" s="234">
        <f t="shared" si="0"/>
        <v>62400</v>
      </c>
      <c r="G10" s="234">
        <f t="shared" si="0"/>
        <v>58500</v>
      </c>
      <c r="H10" s="234">
        <f t="shared" si="0"/>
        <v>54600</v>
      </c>
      <c r="I10" s="234">
        <f t="shared" si="0"/>
        <v>50700</v>
      </c>
      <c r="J10" s="234">
        <f t="shared" si="0"/>
        <v>46800</v>
      </c>
      <c r="K10" s="234">
        <f t="shared" si="0"/>
        <v>42900</v>
      </c>
      <c r="L10" s="234">
        <f t="shared" si="0"/>
        <v>39000</v>
      </c>
      <c r="M10" s="234">
        <f t="shared" si="0"/>
        <v>35100</v>
      </c>
      <c r="N10" s="234">
        <f t="shared" si="0"/>
        <v>31200</v>
      </c>
      <c r="O10" s="234">
        <f t="shared" si="0"/>
        <v>27300</v>
      </c>
      <c r="P10" s="234">
        <f t="shared" si="0"/>
        <v>23400</v>
      </c>
      <c r="Q10" s="234">
        <f t="shared" si="0"/>
        <v>19500</v>
      </c>
      <c r="R10" s="234">
        <f t="shared" si="0"/>
        <v>15600</v>
      </c>
      <c r="S10" s="234">
        <f t="shared" si="0"/>
        <v>11700</v>
      </c>
      <c r="T10" s="234">
        <f t="shared" si="0"/>
        <v>7800</v>
      </c>
      <c r="U10" s="234">
        <f t="shared" si="0"/>
        <v>3900</v>
      </c>
      <c r="V10" s="234">
        <f>U12</f>
        <v>0</v>
      </c>
      <c r="W10" s="234">
        <f>V12</f>
        <v>0</v>
      </c>
      <c r="X10" s="234">
        <f>W12</f>
        <v>0</v>
      </c>
      <c r="Y10" s="234">
        <f>X12</f>
        <v>0</v>
      </c>
      <c r="Z10" s="227">
        <f>Y12</f>
        <v>0</v>
      </c>
    </row>
    <row r="11" spans="1:26" x14ac:dyDescent="0.2">
      <c r="A11" s="226" t="s">
        <v>150</v>
      </c>
      <c r="B11" s="234">
        <f t="shared" ref="B11:U11" si="1">IF(B9&lt;=$B$8, ($B$7/$B$8),0)</f>
        <v>3900</v>
      </c>
      <c r="C11" s="234">
        <f t="shared" si="1"/>
        <v>3900</v>
      </c>
      <c r="D11" s="234">
        <f t="shared" si="1"/>
        <v>3900</v>
      </c>
      <c r="E11" s="234">
        <f t="shared" si="1"/>
        <v>3900</v>
      </c>
      <c r="F11" s="234">
        <f t="shared" si="1"/>
        <v>3900</v>
      </c>
      <c r="G11" s="234">
        <f t="shared" si="1"/>
        <v>3900</v>
      </c>
      <c r="H11" s="234">
        <f t="shared" si="1"/>
        <v>3900</v>
      </c>
      <c r="I11" s="234">
        <f t="shared" si="1"/>
        <v>3900</v>
      </c>
      <c r="J11" s="234">
        <f t="shared" si="1"/>
        <v>3900</v>
      </c>
      <c r="K11" s="234">
        <f t="shared" si="1"/>
        <v>3900</v>
      </c>
      <c r="L11" s="234">
        <f t="shared" si="1"/>
        <v>3900</v>
      </c>
      <c r="M11" s="234">
        <f t="shared" si="1"/>
        <v>3900</v>
      </c>
      <c r="N11" s="234">
        <f t="shared" si="1"/>
        <v>3900</v>
      </c>
      <c r="O11" s="234">
        <f t="shared" si="1"/>
        <v>3900</v>
      </c>
      <c r="P11" s="234">
        <f t="shared" si="1"/>
        <v>3900</v>
      </c>
      <c r="Q11" s="234">
        <f t="shared" si="1"/>
        <v>3900</v>
      </c>
      <c r="R11" s="234">
        <f t="shared" si="1"/>
        <v>3900</v>
      </c>
      <c r="S11" s="234">
        <f t="shared" si="1"/>
        <v>3900</v>
      </c>
      <c r="T11" s="234">
        <f t="shared" si="1"/>
        <v>3900</v>
      </c>
      <c r="U11" s="234">
        <f t="shared" si="1"/>
        <v>3900</v>
      </c>
      <c r="V11" s="234">
        <f>IF(V9&lt;=$B$8, ($B$7/$B$8),0)</f>
        <v>0</v>
      </c>
      <c r="W11" s="234">
        <f>IF(W9&lt;=$B$8, ($B$7/$B$8),0)</f>
        <v>0</v>
      </c>
      <c r="X11" s="234">
        <f>IF(X9&lt;=$B$8, ($B$7/$B$8),0)</f>
        <v>0</v>
      </c>
      <c r="Y11" s="234">
        <f>IF(Y9&lt;=$B$8, ($B$7/$B$8),0)</f>
        <v>0</v>
      </c>
      <c r="Z11" s="227">
        <f>IF(Z9&lt;=$B$8, ($B$7/$B$8),0)</f>
        <v>0</v>
      </c>
    </row>
    <row r="12" spans="1:26" x14ac:dyDescent="0.2">
      <c r="A12" s="226" t="s">
        <v>142</v>
      </c>
      <c r="B12" s="234">
        <f t="shared" ref="B12:U12" si="2">B10-B11</f>
        <v>74100</v>
      </c>
      <c r="C12" s="234">
        <f t="shared" si="2"/>
        <v>70200</v>
      </c>
      <c r="D12" s="234">
        <f t="shared" si="2"/>
        <v>66300</v>
      </c>
      <c r="E12" s="234">
        <f t="shared" si="2"/>
        <v>62400</v>
      </c>
      <c r="F12" s="234">
        <f t="shared" si="2"/>
        <v>58500</v>
      </c>
      <c r="G12" s="234">
        <f t="shared" si="2"/>
        <v>54600</v>
      </c>
      <c r="H12" s="234">
        <f t="shared" si="2"/>
        <v>50700</v>
      </c>
      <c r="I12" s="234">
        <f t="shared" si="2"/>
        <v>46800</v>
      </c>
      <c r="J12" s="234">
        <f t="shared" si="2"/>
        <v>42900</v>
      </c>
      <c r="K12" s="234">
        <f t="shared" si="2"/>
        <v>39000</v>
      </c>
      <c r="L12" s="234">
        <f t="shared" si="2"/>
        <v>35100</v>
      </c>
      <c r="M12" s="234">
        <f t="shared" si="2"/>
        <v>31200</v>
      </c>
      <c r="N12" s="234">
        <f t="shared" si="2"/>
        <v>27300</v>
      </c>
      <c r="O12" s="234">
        <f t="shared" si="2"/>
        <v>23400</v>
      </c>
      <c r="P12" s="234">
        <f t="shared" si="2"/>
        <v>19500</v>
      </c>
      <c r="Q12" s="234">
        <f t="shared" si="2"/>
        <v>15600</v>
      </c>
      <c r="R12" s="234">
        <f t="shared" si="2"/>
        <v>11700</v>
      </c>
      <c r="S12" s="234">
        <f t="shared" si="2"/>
        <v>7800</v>
      </c>
      <c r="T12" s="234">
        <f t="shared" si="2"/>
        <v>3900</v>
      </c>
      <c r="U12" s="234">
        <f t="shared" si="2"/>
        <v>0</v>
      </c>
      <c r="V12" s="234">
        <f>V10-V11</f>
        <v>0</v>
      </c>
      <c r="W12" s="234">
        <f>W10-W11</f>
        <v>0</v>
      </c>
      <c r="X12" s="234">
        <f>X10-X11</f>
        <v>0</v>
      </c>
      <c r="Y12" s="234">
        <f>Y10-Y11</f>
        <v>0</v>
      </c>
      <c r="Z12" s="227">
        <f>Z10-Z11</f>
        <v>0</v>
      </c>
    </row>
    <row r="13" spans="1:26" ht="13.5" thickBot="1" x14ac:dyDescent="0.25">
      <c r="A13" s="225"/>
      <c r="B13" s="224"/>
      <c r="C13" s="224"/>
      <c r="D13" s="224"/>
      <c r="E13" s="224"/>
      <c r="F13" s="224"/>
      <c r="G13" s="232"/>
      <c r="H13" s="224"/>
      <c r="I13" s="224"/>
      <c r="J13" s="224"/>
      <c r="K13" s="224"/>
      <c r="L13" s="224"/>
      <c r="M13" s="224"/>
      <c r="N13" s="224"/>
      <c r="O13" s="224"/>
      <c r="P13" s="224"/>
      <c r="Q13" s="224"/>
      <c r="R13" s="224"/>
      <c r="S13" s="224"/>
      <c r="T13" s="224"/>
      <c r="U13" s="224"/>
      <c r="V13" s="224"/>
      <c r="W13" s="224"/>
      <c r="X13" s="224"/>
      <c r="Y13" s="224"/>
      <c r="Z13" s="231"/>
    </row>
    <row r="14" spans="1:26" ht="13.5" thickBot="1" x14ac:dyDescent="0.25"/>
    <row r="15" spans="1:26" x14ac:dyDescent="0.2">
      <c r="A15" s="247"/>
      <c r="B15" s="246"/>
      <c r="C15" s="246"/>
      <c r="D15" s="246"/>
      <c r="E15" s="246"/>
      <c r="F15" s="246"/>
      <c r="G15" s="246"/>
      <c r="H15" s="246"/>
      <c r="I15" s="246"/>
      <c r="J15" s="246"/>
      <c r="K15" s="246"/>
      <c r="L15" s="246"/>
    </row>
    <row r="17" spans="1:21" ht="13.5" thickBot="1" x14ac:dyDescent="0.25"/>
    <row r="18" spans="1:21" ht="20.25" x14ac:dyDescent="0.3">
      <c r="A18" s="230" t="s">
        <v>149</v>
      </c>
      <c r="B18" s="245"/>
      <c r="C18" s="245"/>
      <c r="D18" s="245"/>
      <c r="E18" s="245"/>
      <c r="F18" s="245"/>
      <c r="G18" s="245"/>
      <c r="H18" s="245"/>
      <c r="I18" s="245"/>
      <c r="J18" s="245"/>
      <c r="K18" s="245"/>
      <c r="L18" s="245"/>
      <c r="M18" s="245"/>
      <c r="N18" s="245"/>
      <c r="O18" s="245"/>
      <c r="P18" s="245"/>
      <c r="Q18" s="245"/>
      <c r="R18" s="245"/>
      <c r="S18" s="245"/>
      <c r="T18" s="245"/>
      <c r="U18" s="236"/>
    </row>
    <row r="19" spans="1:21" s="228" customFormat="1" x14ac:dyDescent="0.2">
      <c r="A19" s="226" t="s">
        <v>62</v>
      </c>
      <c r="B19" s="244">
        <v>1</v>
      </c>
      <c r="C19" s="244">
        <v>2</v>
      </c>
      <c r="D19" s="244">
        <v>3</v>
      </c>
      <c r="E19" s="244">
        <v>4</v>
      </c>
      <c r="F19" s="244">
        <v>5</v>
      </c>
      <c r="G19" s="244">
        <v>6</v>
      </c>
      <c r="H19" s="244">
        <v>7</v>
      </c>
      <c r="I19" s="244">
        <v>8</v>
      </c>
      <c r="J19" s="244">
        <v>9</v>
      </c>
      <c r="K19" s="244">
        <v>10</v>
      </c>
      <c r="L19" s="244">
        <v>11</v>
      </c>
      <c r="M19" s="244">
        <v>12</v>
      </c>
      <c r="N19" s="244">
        <v>13</v>
      </c>
      <c r="O19" s="244">
        <v>14</v>
      </c>
      <c r="P19" s="244">
        <v>15</v>
      </c>
      <c r="Q19" s="244">
        <v>16</v>
      </c>
      <c r="R19" s="244">
        <v>17</v>
      </c>
      <c r="S19" s="244">
        <v>18</v>
      </c>
      <c r="T19" s="244">
        <v>19</v>
      </c>
      <c r="U19" s="243">
        <v>20</v>
      </c>
    </row>
    <row r="20" spans="1:21" x14ac:dyDescent="0.2">
      <c r="A20" s="242" t="s">
        <v>148</v>
      </c>
      <c r="B20" s="241">
        <f>Assumptions!C45</f>
        <v>0</v>
      </c>
      <c r="C20" s="241">
        <f t="shared" ref="C20:U20" si="3">B23</f>
        <v>0</v>
      </c>
      <c r="D20" s="241">
        <f t="shared" si="3"/>
        <v>0</v>
      </c>
      <c r="E20" s="241">
        <f t="shared" si="3"/>
        <v>0</v>
      </c>
      <c r="F20" s="241">
        <f t="shared" si="3"/>
        <v>0</v>
      </c>
      <c r="G20" s="241">
        <f t="shared" si="3"/>
        <v>0</v>
      </c>
      <c r="H20" s="241">
        <f t="shared" si="3"/>
        <v>0</v>
      </c>
      <c r="I20" s="241">
        <f t="shared" si="3"/>
        <v>0</v>
      </c>
      <c r="J20" s="241">
        <f t="shared" si="3"/>
        <v>0</v>
      </c>
      <c r="K20" s="241">
        <f t="shared" si="3"/>
        <v>0</v>
      </c>
      <c r="L20" s="241">
        <f t="shared" si="3"/>
        <v>0</v>
      </c>
      <c r="M20" s="241">
        <f t="shared" si="3"/>
        <v>0</v>
      </c>
      <c r="N20" s="241">
        <f t="shared" si="3"/>
        <v>0</v>
      </c>
      <c r="O20" s="241">
        <f t="shared" si="3"/>
        <v>0</v>
      </c>
      <c r="P20" s="241">
        <f t="shared" si="3"/>
        <v>0</v>
      </c>
      <c r="Q20" s="241">
        <f t="shared" si="3"/>
        <v>0</v>
      </c>
      <c r="R20" s="241">
        <f t="shared" si="3"/>
        <v>0</v>
      </c>
      <c r="S20" s="241">
        <f t="shared" si="3"/>
        <v>0</v>
      </c>
      <c r="T20" s="241">
        <f t="shared" si="3"/>
        <v>0</v>
      </c>
      <c r="U20" s="240">
        <f t="shared" si="3"/>
        <v>0</v>
      </c>
    </row>
    <row r="21" spans="1:21" x14ac:dyDescent="0.2">
      <c r="A21" s="239" t="s">
        <v>147</v>
      </c>
      <c r="B21" s="234">
        <f>IF(AND(B$19&lt;=Assumptions!$F$48,B$19&gt;=Assumptions!$E$48),(Assumptions!$C$47*'Calculations Appendix'!B$20),0)</f>
        <v>0</v>
      </c>
      <c r="C21" s="234">
        <f>IF(AND(C$19&lt;=Assumptions!$F$48,C$19&gt;=Assumptions!$E$48),(Assumptions!$C$47*'Calculations Appendix'!C$20),0)</f>
        <v>0</v>
      </c>
      <c r="D21" s="234">
        <f>IF(AND(D$19&lt;=Assumptions!$F$48,D$19&gt;=Assumptions!$E$48),(Assumptions!$C$47*'Calculations Appendix'!D$20),0)</f>
        <v>0</v>
      </c>
      <c r="E21" s="234">
        <f>IF(AND(E$19&lt;=Assumptions!$F$48,E$19&gt;=Assumptions!$E$48),(Assumptions!$C$47*'Calculations Appendix'!E$20),0)</f>
        <v>0</v>
      </c>
      <c r="F21" s="234">
        <f>IF(AND(F$19&lt;=Assumptions!$F$48,F$19&gt;=Assumptions!$E$48),(Assumptions!$C$47*'Calculations Appendix'!F$20),0)</f>
        <v>0</v>
      </c>
      <c r="G21" s="234">
        <f>IF(AND(G$19&lt;=Assumptions!$F$48,G$19&gt;=Assumptions!$E$48),(Assumptions!$C$47*'Calculations Appendix'!G$20),0)</f>
        <v>0</v>
      </c>
      <c r="H21" s="234">
        <f>IF(AND(H$19&lt;=Assumptions!$F$48,H$19&gt;=Assumptions!$E$48),(Assumptions!$C$47*'Calculations Appendix'!H$20),0)</f>
        <v>0</v>
      </c>
      <c r="I21" s="234">
        <f>IF(AND(I$19&lt;=Assumptions!$F$48,I$19&gt;=Assumptions!$E$48),(Assumptions!$C$47*'Calculations Appendix'!I$20),0)</f>
        <v>0</v>
      </c>
      <c r="J21" s="234">
        <f>IF(AND(J$19&lt;=Assumptions!$F$48,J$19&gt;=Assumptions!$E$48),(Assumptions!$C$47*'Calculations Appendix'!J$20),0)</f>
        <v>0</v>
      </c>
      <c r="K21" s="234">
        <f>IF(AND(K$19&lt;=Assumptions!$F$48,K$19&gt;=Assumptions!$E$48),(Assumptions!$C$47*'Calculations Appendix'!K$20),0)</f>
        <v>0</v>
      </c>
      <c r="L21" s="234">
        <f>IF(AND(L$19&lt;=Assumptions!$F$48,L$19&gt;=Assumptions!$E$48),(Assumptions!$C$47*'Calculations Appendix'!L$20),0)</f>
        <v>0</v>
      </c>
      <c r="M21" s="234">
        <f>IF(AND(M$19&lt;=Assumptions!$F$48,M$19&gt;=Assumptions!$E$48),(Assumptions!$C$47*'Calculations Appendix'!M$20),0)</f>
        <v>0</v>
      </c>
      <c r="N21" s="234">
        <f>IF(AND(N$19&lt;=Assumptions!$F$48,N$19&gt;=Assumptions!$E$48),(Assumptions!$C$47*'Calculations Appendix'!N$20),0)</f>
        <v>0</v>
      </c>
      <c r="O21" s="234">
        <f>IF(AND(O$19&lt;=Assumptions!$F$48,O$19&gt;=Assumptions!$E$48),(Assumptions!$C$47*'Calculations Appendix'!O$20),0)</f>
        <v>0</v>
      </c>
      <c r="P21" s="234">
        <f>IF(AND(P$19&lt;=Assumptions!$F$48,P$19&gt;=Assumptions!$E$48),(Assumptions!$C$47*'Calculations Appendix'!P$20),0)</f>
        <v>0</v>
      </c>
      <c r="Q21" s="234">
        <f>IF(AND(Q$19&lt;=Assumptions!$F$48,Q$19&gt;=Assumptions!$E$48),(Assumptions!$C$47*'Calculations Appendix'!Q$20),0)</f>
        <v>0</v>
      </c>
      <c r="R21" s="234">
        <f>IF(AND(R$19&lt;=Assumptions!$F$48,R$19&gt;=Assumptions!$E$48),(Assumptions!$C$47*'Calculations Appendix'!R$20),0)</f>
        <v>0</v>
      </c>
      <c r="S21" s="234">
        <f>IF(AND(S$19&lt;=Assumptions!$F$48,S$19&gt;=Assumptions!$E$48),(Assumptions!$C$47*'Calculations Appendix'!S$20),0)</f>
        <v>0</v>
      </c>
      <c r="T21" s="234">
        <f>IF(AND(T$19&lt;=Assumptions!$F$48,T$19&gt;=Assumptions!$E$48),(Assumptions!$C$47*'Calculations Appendix'!T$20),0)</f>
        <v>0</v>
      </c>
      <c r="U21" s="227">
        <f>IF(AND(U$19&lt;=Assumptions!$F$48,U$19&gt;=Assumptions!$E$48),(Assumptions!$C$47*'Calculations Appendix'!U$20),0)</f>
        <v>0</v>
      </c>
    </row>
    <row r="22" spans="1:21" x14ac:dyDescent="0.2">
      <c r="A22" s="239" t="s">
        <v>146</v>
      </c>
      <c r="B22" s="234">
        <f>IF(AND(B$19&lt;=Assumptions!$F$48, B$19&gt;=Assumptions!$E$48), (Assumptions!$C$48-'Calculations Appendix'!B$21),0)</f>
        <v>0</v>
      </c>
      <c r="C22" s="234">
        <f>IF(AND(C$19&lt;=Assumptions!$F$48, C$19&gt;=Assumptions!$E$48), (Assumptions!$C$48-'Calculations Appendix'!C$21),0)</f>
        <v>0</v>
      </c>
      <c r="D22" s="234">
        <f>IF(AND(D$19&lt;=Assumptions!$F$48, D$19&gt;=Assumptions!$E$48), (Assumptions!$C$48-'Calculations Appendix'!D$21),0)</f>
        <v>0</v>
      </c>
      <c r="E22" s="234">
        <f>IF(AND(E$19&lt;=Assumptions!$F$48, E$19&gt;=Assumptions!$E$48), (Assumptions!$C$48-'Calculations Appendix'!E$21),0)</f>
        <v>0</v>
      </c>
      <c r="F22" s="234">
        <f>IF(AND(F$19&lt;=Assumptions!$F$48, F$19&gt;=Assumptions!$E$48), (Assumptions!$C$48-'Calculations Appendix'!F$21),0)</f>
        <v>0</v>
      </c>
      <c r="G22" s="234">
        <f>IF(AND(G$19&lt;=Assumptions!$F$48, G$19&gt;=Assumptions!$E$48), (Assumptions!$C$48-'Calculations Appendix'!G$21),0)</f>
        <v>0</v>
      </c>
      <c r="H22" s="234">
        <f>IF(AND(H$19&lt;=Assumptions!$F$48, H$19&gt;=Assumptions!$E$48), (Assumptions!$C$48-'Calculations Appendix'!H$21),0)</f>
        <v>0</v>
      </c>
      <c r="I22" s="234">
        <f>IF(AND(I$19&lt;=Assumptions!$F$48, I$19&gt;=Assumptions!$E$48), (Assumptions!$C$48-'Calculations Appendix'!I$21),0)</f>
        <v>0</v>
      </c>
      <c r="J22" s="234">
        <f>IF(AND(J$19&lt;=Assumptions!$F$48, J$19&gt;=Assumptions!$E$48), (Assumptions!$C$48-'Calculations Appendix'!J$21),0)</f>
        <v>0</v>
      </c>
      <c r="K22" s="234">
        <f>IF(AND(K$19&lt;=Assumptions!$F$48, K$19&gt;=Assumptions!$E$48), (Assumptions!$C$48-'Calculations Appendix'!K$21),0)</f>
        <v>0</v>
      </c>
      <c r="L22" s="234">
        <f>IF(AND(L$19&lt;=Assumptions!$F$48, L$19&gt;=Assumptions!$E$48), (Assumptions!$C$48-'Calculations Appendix'!L$21),0)</f>
        <v>0</v>
      </c>
      <c r="M22" s="234">
        <f>IF(AND(M$19&lt;=Assumptions!$F$48, M$19&gt;=Assumptions!$E$48), (Assumptions!$C$48-'Calculations Appendix'!M$21),0)</f>
        <v>0</v>
      </c>
      <c r="N22" s="234">
        <f>IF(AND(N$19&lt;=Assumptions!$F$48, N$19&gt;=Assumptions!$E$48), (Assumptions!$C$48-'Calculations Appendix'!N$21),0)</f>
        <v>0</v>
      </c>
      <c r="O22" s="234">
        <f>IF(AND(O$19&lt;=Assumptions!$F$48, O$19&gt;=Assumptions!$E$48), (Assumptions!$C$48-'Calculations Appendix'!O$21),0)</f>
        <v>0</v>
      </c>
      <c r="P22" s="234">
        <f>IF(AND(P$19&lt;=Assumptions!$F$48, P$19&gt;=Assumptions!$E$48), (Assumptions!$C$48-'Calculations Appendix'!P$21),0)</f>
        <v>0</v>
      </c>
      <c r="Q22" s="234">
        <f>IF(AND(Q$19&lt;=Assumptions!$F$48, Q$19&gt;=Assumptions!$E$48), (Assumptions!$C$48-'Calculations Appendix'!Q$21),0)</f>
        <v>0</v>
      </c>
      <c r="R22" s="234">
        <f>IF(AND(R$19&lt;=Assumptions!$F$48, R$19&gt;=Assumptions!$E$48), (Assumptions!$C$48-'Calculations Appendix'!R$21),0)</f>
        <v>0</v>
      </c>
      <c r="S22" s="234">
        <f>IF(AND(S$19&lt;=Assumptions!$F$48, S$19&gt;=Assumptions!$E$48), (Assumptions!$C$48-'Calculations Appendix'!S$21),0)</f>
        <v>0</v>
      </c>
      <c r="T22" s="234">
        <f>IF(AND(T$19&lt;=Assumptions!$F$48, T$19&gt;=Assumptions!$E$48), (Assumptions!$C$48-'Calculations Appendix'!T$21),0)</f>
        <v>0</v>
      </c>
      <c r="U22" s="227">
        <f>IF(AND(U$19&lt;=Assumptions!$F$48, U$19&gt;=Assumptions!$E$48), (Assumptions!$C$48-'Calculations Appendix'!U$21),0)</f>
        <v>0</v>
      </c>
    </row>
    <row r="23" spans="1:21" x14ac:dyDescent="0.2">
      <c r="A23" s="239" t="s">
        <v>145</v>
      </c>
      <c r="B23" s="234">
        <f t="shared" ref="B23:U23" si="4">B20-B22</f>
        <v>0</v>
      </c>
      <c r="C23" s="234">
        <f t="shared" si="4"/>
        <v>0</v>
      </c>
      <c r="D23" s="234">
        <f t="shared" si="4"/>
        <v>0</v>
      </c>
      <c r="E23" s="234">
        <f t="shared" si="4"/>
        <v>0</v>
      </c>
      <c r="F23" s="234">
        <f t="shared" si="4"/>
        <v>0</v>
      </c>
      <c r="G23" s="234">
        <f t="shared" si="4"/>
        <v>0</v>
      </c>
      <c r="H23" s="234">
        <f t="shared" si="4"/>
        <v>0</v>
      </c>
      <c r="I23" s="234">
        <f t="shared" si="4"/>
        <v>0</v>
      </c>
      <c r="J23" s="234">
        <f t="shared" si="4"/>
        <v>0</v>
      </c>
      <c r="K23" s="234">
        <f t="shared" si="4"/>
        <v>0</v>
      </c>
      <c r="L23" s="234">
        <f t="shared" si="4"/>
        <v>0</v>
      </c>
      <c r="M23" s="234">
        <f t="shared" si="4"/>
        <v>0</v>
      </c>
      <c r="N23" s="234">
        <f t="shared" si="4"/>
        <v>0</v>
      </c>
      <c r="O23" s="234">
        <f t="shared" si="4"/>
        <v>0</v>
      </c>
      <c r="P23" s="234">
        <f t="shared" si="4"/>
        <v>0</v>
      </c>
      <c r="Q23" s="234">
        <f t="shared" si="4"/>
        <v>0</v>
      </c>
      <c r="R23" s="234">
        <f t="shared" si="4"/>
        <v>0</v>
      </c>
      <c r="S23" s="234">
        <f t="shared" si="4"/>
        <v>0</v>
      </c>
      <c r="T23" s="234">
        <f t="shared" si="4"/>
        <v>0</v>
      </c>
      <c r="U23" s="227">
        <f t="shared" si="4"/>
        <v>0</v>
      </c>
    </row>
    <row r="24" spans="1:21" ht="13.5" thickBot="1" x14ac:dyDescent="0.25">
      <c r="A24" s="225"/>
      <c r="B24" s="224"/>
      <c r="C24" s="224"/>
      <c r="D24" s="224"/>
      <c r="E24" s="224"/>
      <c r="F24" s="224"/>
      <c r="G24" s="224"/>
      <c r="H24" s="224"/>
      <c r="I24" s="224"/>
      <c r="J24" s="224"/>
      <c r="K24" s="224"/>
      <c r="L24" s="224"/>
      <c r="M24" s="224"/>
      <c r="N24" s="224"/>
      <c r="O24" s="224"/>
      <c r="P24" s="224"/>
      <c r="Q24" s="224"/>
      <c r="R24" s="224"/>
      <c r="S24" s="224"/>
      <c r="T24" s="224"/>
      <c r="U24" s="231"/>
    </row>
    <row r="25" spans="1:21" x14ac:dyDescent="0.2">
      <c r="B25" s="238"/>
      <c r="C25" s="238"/>
      <c r="D25" s="238"/>
      <c r="E25" s="238"/>
      <c r="F25" s="238"/>
      <c r="G25" s="238"/>
    </row>
  </sheetData>
  <sheetProtection algorithmName="SHA-512" hashValue="K6SAWbPJ+eOz6Jnt0yVmHlJLNBV05KHctzyBI3yQIKuiytCj9DQ4q5VLkp1cjSGpUryJRkBnaPrRKKWmtVKkjQ==" saltValue="f9jKXSARikEDtP+ezaNBaw==" spinCount="100000" sheet="1" objects="1" scenarios="1"/>
  <pageMargins left="0.5" right="0.5" top="0.75" bottom="0.75" header="0.5" footer="0.5"/>
  <pageSetup scale="45" orientation="landscape" horizontalDpi="300" verticalDpi="300" r:id="rId1"/>
  <headerFooter alignWithMargins="0">
    <oddHeader>&amp;L&amp;A Page &amp;P of &amp;N</oddHeader>
    <oddFooter>&amp;L&amp;G&amp;C&amp;"Verdana,Regular"&amp;12 2105 1st Ave S, Minneapolis, MN 55404
Toll Free: 1-800-946-3640  Phone: 612-870-3461  Fax: 612-813-5612
info@windustry.org www.windustry.org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872379-8AE5-4D51-B259-A53724EA77A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7</vt:i4>
      </vt:variant>
      <vt:variant>
        <vt:lpstr>Diagramme</vt:lpstr>
      </vt:variant>
      <vt:variant>
        <vt:i4>9</vt:i4>
      </vt:variant>
      <vt:variant>
        <vt:lpstr>Benannte Bereiche</vt:lpstr>
      </vt:variant>
      <vt:variant>
        <vt:i4>5</vt:i4>
      </vt:variant>
    </vt:vector>
  </HeadingPairs>
  <TitlesOfParts>
    <vt:vector size="21" baseType="lpstr">
      <vt:lpstr>Assumptions</vt:lpstr>
      <vt:lpstr>Project Summary</vt:lpstr>
      <vt:lpstr>Criteria description</vt:lpstr>
      <vt:lpstr>Project ratings</vt:lpstr>
      <vt:lpstr>Ratings overview</vt:lpstr>
      <vt:lpstr>Pro Forma</vt:lpstr>
      <vt:lpstr>Calculations Appendix</vt:lpstr>
      <vt:lpstr>Annual kWh Generation</vt:lpstr>
      <vt:lpstr>Annual Revenues</vt:lpstr>
      <vt:lpstr>Electricity Sales Revenue</vt:lpstr>
      <vt:lpstr>Loan Payments</vt:lpstr>
      <vt:lpstr>Annual Expenses</vt:lpstr>
      <vt:lpstr>Total Net Tax Ben. or Liab.</vt:lpstr>
      <vt:lpstr>Returns to Investors</vt:lpstr>
      <vt:lpstr>Net After-Tax Cash Flow</vt:lpstr>
      <vt:lpstr>Running IRR</vt:lpstr>
      <vt:lpstr>Assumptions!Druckbereich</vt:lpstr>
      <vt:lpstr>'Calculations Appendix'!Druckbereich</vt:lpstr>
      <vt:lpstr>'Pro Forma'!Druckbereich</vt:lpstr>
      <vt:lpstr>'Project Summary'!Druckbereich</vt:lpstr>
      <vt:lpstr>'Pro Forma'!Drucktitel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Jeras</dc:creator>
  <cp:lastModifiedBy>Wittmann Sebastian</cp:lastModifiedBy>
  <cp:lastPrinted>2020-10-06T10:13:17Z</cp:lastPrinted>
  <dcterms:created xsi:type="dcterms:W3CDTF">2020-05-04T08:00:58Z</dcterms:created>
  <dcterms:modified xsi:type="dcterms:W3CDTF">2020-10-09T07:00:47Z</dcterms:modified>
</cp:coreProperties>
</file>