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activeTab="2"/>
  </bookViews>
  <sheets>
    <sheet name="Osnove" sheetId="1" r:id="rId1"/>
    <sheet name="Ulazni podaci" sheetId="2" r:id="rId2"/>
    <sheet name="Opće pretpostavke" sheetId="3" r:id="rId3"/>
  </sheets>
  <definedNames>
    <definedName name="Fuel">#REF!</definedName>
  </definedNames>
  <calcPr fullCalcOnLoad="1"/>
</workbook>
</file>

<file path=xl/comments2.xml><?xml version="1.0" encoding="utf-8"?>
<comments xmlns="http://schemas.openxmlformats.org/spreadsheetml/2006/main">
  <authors>
    <author>tisch</author>
  </authors>
  <commentList>
    <comment ref="A8" authorId="0">
      <text>
        <r>
          <rPr>
            <sz val="8"/>
            <rFont val="Tahoma"/>
            <family val="2"/>
          </rPr>
          <t>U slučaju da postoji i drugo gorivo kao npr. u bivalentnim motorima ili ako se kao gorivo ne koristi samo dizel, nego i 100% biodizel.</t>
        </r>
      </text>
    </comment>
    <comment ref="C6" authorId="0">
      <text>
        <r>
          <rPr>
            <sz val="10"/>
            <rFont val="Tahoma"/>
            <family val="2"/>
          </rPr>
          <t xml:space="preserve">Ukoliko vozilo za pogon koristi dvije vrste goriva (npr. benzin i plin), potrebno je unijeti podatke o udaljenosti koje će vozilo prijeći sa svakim gorivom posebno. Ovaj podatak možete dobiti ili iskustvom prethodnih korištenja (ukoliko imate sustav praćenja) ili s obzirom na to što planirate u budućnosti. Udaljenosti koje će vozilo prijeći s gorivom 1 i gorivom 2 mora odgovarati ukupnoj udaljenosti koju će vozilo prijeći. </t>
        </r>
      </text>
    </comment>
    <comment ref="G13" authorId="0">
      <text>
        <r>
          <rPr>
            <sz val="10"/>
            <rFont val="Tahoma"/>
            <family val="2"/>
          </rPr>
          <t>Molimo unesite količinu goriva dobivenu iz kombiniranog testnog ciklusa.</t>
        </r>
      </text>
    </comment>
    <comment ref="G14" authorId="0">
      <text>
        <r>
          <rPr>
            <sz val="9"/>
            <rFont val="Tahoma"/>
            <family val="2"/>
          </rPr>
          <t>Molimo unesite količinu goriva dobivenu iz kombiniranog testnog ciklusa.</t>
        </r>
      </text>
    </comment>
    <comment ref="R13" authorId="0">
      <text>
        <r>
          <rPr>
            <sz val="9"/>
            <rFont val="Tahoma"/>
            <family val="2"/>
          </rPr>
          <t>Molimo unesite količinu goriva dobivenu iz kombiniranog testnog ciklusa.</t>
        </r>
      </text>
    </comment>
    <comment ref="R14" authorId="0">
      <text>
        <r>
          <rPr>
            <sz val="9"/>
            <rFont val="Tahoma"/>
            <family val="2"/>
          </rPr>
          <t>Molimo unesite količinu goriva dobivenu iz kombiniranog testnog ciklusa.</t>
        </r>
      </text>
    </comment>
    <comment ref="N6" authorId="0">
      <text>
        <r>
          <rPr>
            <sz val="10"/>
            <rFont val="Tahoma"/>
            <family val="2"/>
          </rPr>
          <t xml:space="preserve">Ukoliko vozilo za pogon koristi dvije vrste goriva (npr. benzin i plin), potrebno je unijeti podatke o udaljenosti koje će vozilo prijeći sa svakim gorivom posebno. Ovaj podatak možete dobiti ili iskustvom prethodnih korištenja (ukoliko imate sustav praćenja) ili s obzirom na to što planirate u budućnosti. Udaljenosti koje će vozilo prijeći s gorivom 1 i gorivom 2 mora odgovarati ukupnoj udaljenosti koju će vozilo prijeći. 
</t>
        </r>
      </text>
    </comment>
  </commentList>
</comments>
</file>

<file path=xl/comments3.xml><?xml version="1.0" encoding="utf-8"?>
<comments xmlns="http://schemas.openxmlformats.org/spreadsheetml/2006/main">
  <authors>
    <author>tisch</author>
    <author>Tisch, Angelika</author>
  </authors>
  <commentList>
    <comment ref="B45" authorId="0">
      <text>
        <r>
          <rPr>
            <b/>
            <sz val="8"/>
            <rFont val="Tahoma"/>
            <family val="2"/>
          </rPr>
          <t>Izvor: EEA, 2011: CO2 (g) per KWh in 2009
http://www.eea.europa.eu/data-and-maps/figures/co2-electricity-g-per-kwh</t>
        </r>
      </text>
    </comment>
    <comment ref="H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I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J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K4" authorId="1">
      <text>
        <r>
          <rPr>
            <sz val="9"/>
            <rFont val="Segoe UI"/>
            <family val="2"/>
          </rPr>
          <t xml:space="preserve">Izvor: COM(2014)617 final 
</t>
        </r>
      </text>
    </comment>
    <comment ref="C64" authorId="1">
      <text>
        <r>
          <rPr>
            <sz val="9"/>
            <rFont val="Segoe UI"/>
            <family val="2"/>
          </rPr>
          <t>Izvor: Information offered by Rijkswaterstaat (2014)</t>
        </r>
        <r>
          <rPr>
            <sz val="9"/>
            <rFont val="Segoe UI"/>
            <family val="2"/>
          </rPr>
          <t xml:space="preserve">
</t>
        </r>
      </text>
    </comment>
    <comment ref="C75" authorId="1">
      <text>
        <r>
          <rPr>
            <sz val="9"/>
            <rFont val="Segoe UI"/>
            <family val="2"/>
          </rPr>
          <t>Izvor: The Catalan Office for Climate Change,  Greenhouse gas (GHG) emissions calculator 2013_2014 version</t>
        </r>
      </text>
    </comment>
    <comment ref="C55" authorId="1">
      <text>
        <r>
          <rPr>
            <sz val="9"/>
            <rFont val="Segoe UI"/>
            <family val="2"/>
          </rPr>
          <t>Izvor: The Catalan Office for Climate Change,  Greenhouse gas (GHG) emissions calculator 2013_2014 version</t>
        </r>
      </text>
    </comment>
    <comment ref="H1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I1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J1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K14" authorId="1">
      <text>
        <r>
          <rPr>
            <sz val="9"/>
            <rFont val="Segoe UI"/>
            <family val="2"/>
          </rPr>
          <t xml:space="preserve">Izvor: COM(2014)617 final 
</t>
        </r>
      </text>
    </comment>
    <comment ref="G27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H27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I27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J27" authorId="1">
      <text>
        <r>
          <rPr>
            <sz val="9"/>
            <rFont val="Segoe UI"/>
            <family val="2"/>
          </rPr>
          <t xml:space="preserve">Izvor: COM(2014)617 final 
</t>
        </r>
      </text>
    </comment>
    <comment ref="V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W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X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Y4" authorId="1">
      <text>
        <r>
          <rPr>
            <sz val="9"/>
            <rFont val="Segoe UI"/>
            <family val="2"/>
          </rPr>
          <t xml:space="preserve">Izvor: COM(2014)617 final 
</t>
        </r>
      </text>
    </comment>
    <comment ref="V1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W1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X14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Y14" authorId="1">
      <text>
        <r>
          <rPr>
            <sz val="9"/>
            <rFont val="Segoe UI"/>
            <family val="2"/>
          </rPr>
          <t xml:space="preserve">Izvor: COM(2014)617 final 
</t>
        </r>
      </text>
    </comment>
    <comment ref="U27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V27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W27" authorId="1">
      <text>
        <r>
          <rPr>
            <sz val="9"/>
            <rFont val="Segoe UI"/>
            <family val="2"/>
          </rPr>
          <t>Izvor: UBA, Austria: http://www5.umweltbundesamt.at/emas/co2mon/co2mon.htm#THG-Emissionen</t>
        </r>
      </text>
    </comment>
    <comment ref="X27" authorId="1">
      <text>
        <r>
          <rPr>
            <sz val="9"/>
            <rFont val="Segoe UI"/>
            <family val="2"/>
          </rPr>
          <t xml:space="preserve">Izvor: COM(2014)617 final 
</t>
        </r>
      </text>
    </comment>
  </commentList>
</comments>
</file>

<file path=xl/sharedStrings.xml><?xml version="1.0" encoding="utf-8"?>
<sst xmlns="http://schemas.openxmlformats.org/spreadsheetml/2006/main" count="396" uniqueCount="112">
  <si>
    <t>l/100 km</t>
  </si>
  <si>
    <t>Nm³/100 km</t>
  </si>
  <si>
    <t>MJ/l</t>
  </si>
  <si>
    <t>MJ/Nm³</t>
  </si>
  <si>
    <t>MJ/kWh</t>
  </si>
  <si>
    <t>kWh/100km</t>
  </si>
  <si>
    <t>l</t>
  </si>
  <si>
    <t>Nm³</t>
  </si>
  <si>
    <t>kWh</t>
  </si>
  <si>
    <t>Electro</t>
  </si>
  <si>
    <r>
      <t>kg CO</t>
    </r>
    <r>
      <rPr>
        <b/>
        <vertAlign val="subscript"/>
        <sz val="8"/>
        <rFont val="Calibri"/>
        <family val="2"/>
      </rPr>
      <t>2</t>
    </r>
    <r>
      <rPr>
        <b/>
        <sz val="8"/>
        <rFont val="Calibri"/>
        <family val="2"/>
      </rPr>
      <t>/kWh</t>
    </r>
  </si>
  <si>
    <t>kg CO2/kWh</t>
  </si>
  <si>
    <t>Malta</t>
  </si>
  <si>
    <t>Portugal</t>
  </si>
  <si>
    <t>kg/l</t>
  </si>
  <si>
    <t>kg/m³</t>
  </si>
  <si>
    <r>
      <rPr>
        <b/>
        <sz val="11"/>
        <color indexed="8"/>
        <rFont val="Calibri"/>
        <family val="2"/>
      </rPr>
      <t>IZVOR KALKULATORA</t>
    </r>
    <r>
      <rPr>
        <sz val="11"/>
        <color theme="1"/>
        <rFont val="Calibri"/>
        <family val="2"/>
      </rPr>
      <t>: Kalkulator je izrađen u sklopu projekta GPP2020.</t>
    </r>
  </si>
  <si>
    <r>
      <t xml:space="preserve"> Kalkulator za uštedu CO</t>
    </r>
    <r>
      <rPr>
        <b/>
        <vertAlign val="subscript"/>
        <sz val="20"/>
        <rFont val="Calibri"/>
        <family val="2"/>
      </rPr>
      <t>2</t>
    </r>
    <r>
      <rPr>
        <b/>
        <sz val="20"/>
        <rFont val="Calibri"/>
        <family val="2"/>
      </rPr>
      <t xml:space="preserve"> i energije kod nabave vozila</t>
    </r>
  </si>
  <si>
    <r>
      <t xml:space="preserve">3 VRSTE </t>
    </r>
    <r>
      <rPr>
        <b/>
        <sz val="11"/>
        <color indexed="8"/>
        <rFont val="Calibri"/>
        <family val="2"/>
      </rPr>
      <t>VOZILA</t>
    </r>
    <r>
      <rPr>
        <sz val="11"/>
        <color theme="1"/>
        <rFont val="Calibri"/>
        <family val="2"/>
      </rPr>
      <t>: Kalkulator razlikuje 3 vrste vozila: a)</t>
    </r>
    <r>
      <rPr>
        <b/>
        <sz val="11"/>
        <color indexed="8"/>
        <rFont val="Calibri"/>
        <family val="2"/>
      </rPr>
      <t xml:space="preserve"> Vozila sa standardnim motorom na unutarnje izgaranje sa jednim ili dvije vrste goriva </t>
    </r>
    <r>
      <rPr>
        <sz val="11"/>
        <color indexed="8"/>
        <rFont val="Calibri"/>
        <family val="2"/>
      </rPr>
      <t>(mogu se koristiti dvije vrste goriva na primjer bivalentni dizel/stlačeni prirodni plin ili monovalentni motor pogonjen dizelom/biodizelom)</t>
    </r>
    <r>
      <rPr>
        <sz val="11"/>
        <color theme="1"/>
        <rFont val="Calibri"/>
        <family val="2"/>
      </rPr>
      <t xml:space="preserve">. Samo je jedna ćelija za broj vozila, ali su dvije za prosječnu udaljenost vozila. Ovo je nužno u slučaju da se koriste dvije vrste goriva: na primjer, ukoliko jedno vozilo vozi 100.000 km te za 50% puta koristi dizel, a za drugih 50% puta stlačeni prirodni plin, možete u jednu ćeliju unijeti 50.000 km i dizel, a u drugu 50.000 km i stlačeni prirodni plin. b) </t>
    </r>
    <r>
      <rPr>
        <b/>
        <sz val="11"/>
        <color indexed="8"/>
        <rFont val="Calibri"/>
        <family val="2"/>
      </rPr>
      <t>Vozila na električni pogon</t>
    </r>
    <r>
      <rPr>
        <sz val="11"/>
        <color theme="1"/>
        <rFont val="Calibri"/>
        <family val="2"/>
      </rPr>
      <t xml:space="preserve"> i c) </t>
    </r>
    <r>
      <rPr>
        <b/>
        <sz val="11"/>
        <color indexed="8"/>
        <rFont val="Calibri"/>
        <family val="2"/>
      </rPr>
      <t>Hibridna vozila</t>
    </r>
    <r>
      <rPr>
        <sz val="11"/>
        <color theme="1"/>
        <rFont val="Calibri"/>
        <family val="2"/>
      </rPr>
      <t>.</t>
    </r>
  </si>
  <si>
    <t>Unos i rezultati</t>
  </si>
  <si>
    <t>Lokacija</t>
  </si>
  <si>
    <r>
      <t>Emisija CO</t>
    </r>
    <r>
      <rPr>
        <vertAlign val="subscript"/>
        <sz val="9"/>
        <rFont val="Arial"/>
        <family val="2"/>
      </rPr>
      <t xml:space="preserve">2 po </t>
    </r>
    <r>
      <rPr>
        <sz val="9"/>
        <rFont val="Arial"/>
        <family val="2"/>
      </rPr>
      <t xml:space="preserve">kWh </t>
    </r>
    <r>
      <rPr>
        <b/>
        <sz val="9"/>
        <rFont val="Arial"/>
        <family val="2"/>
      </rPr>
      <t>(kg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/kWh)</t>
    </r>
  </si>
  <si>
    <t>Referentna vrijednost</t>
  </si>
  <si>
    <t>Niskougljično rješenje</t>
  </si>
  <si>
    <t>Broj vozila</t>
  </si>
  <si>
    <t>Prosječna udaljenost po vozilu tijekom životnog vijeka (u km)</t>
  </si>
  <si>
    <t>Vrsta goriva</t>
  </si>
  <si>
    <t>Energetska vrijednost goriva</t>
  </si>
  <si>
    <t>Potrošnja goriva na 100 km</t>
  </si>
  <si>
    <t>Ukupna količina goriva potrošena u životnom vijeku vozila</t>
  </si>
  <si>
    <t>Količina energije (TOE) goriva koje se koristi u životnom vijeku</t>
  </si>
  <si>
    <r>
      <t xml:space="preserve">Indirektne i direktne emisije CO2 u životnom vijeku </t>
    </r>
    <r>
      <rPr>
        <b/>
        <sz val="10"/>
        <rFont val="Calibri"/>
        <family val="2"/>
      </rPr>
      <t>(t)</t>
    </r>
  </si>
  <si>
    <r>
      <rPr>
        <b/>
        <sz val="10"/>
        <rFont val="Calibri"/>
        <family val="2"/>
      </rPr>
      <t>Standardni motor</t>
    </r>
    <r>
      <rPr>
        <sz val="10"/>
        <rFont val="Calibri"/>
        <family val="2"/>
      </rPr>
      <t xml:space="preserve"> - gorivo 1</t>
    </r>
  </si>
  <si>
    <r>
      <rPr>
        <b/>
        <sz val="10"/>
        <rFont val="Calibri"/>
        <family val="2"/>
      </rPr>
      <t>Standardni motor</t>
    </r>
    <r>
      <rPr>
        <sz val="10"/>
        <rFont val="Calibri"/>
        <family val="2"/>
      </rPr>
      <t xml:space="preserve"> - gorivo 2</t>
    </r>
  </si>
  <si>
    <t>Električni motor</t>
  </si>
  <si>
    <t>Hibridni motor</t>
  </si>
  <si>
    <t>Električna energija (ispitivanja kombiniranog ciklusa)</t>
  </si>
  <si>
    <t>Gorivo (ispitivanja kombiniranog ciklusa)</t>
  </si>
  <si>
    <t>Električna energija</t>
  </si>
  <si>
    <t>Uštede</t>
  </si>
  <si>
    <t>Uštede energije (toe)</t>
  </si>
  <si>
    <r>
      <t>Uštede CO</t>
    </r>
    <r>
      <rPr>
        <b/>
        <vertAlign val="subscript"/>
        <sz val="10"/>
        <color indexed="9"/>
        <rFont val="Calibri"/>
        <family val="2"/>
      </rPr>
      <t xml:space="preserve">2 </t>
    </r>
    <r>
      <rPr>
        <b/>
        <sz val="10"/>
        <color indexed="9"/>
        <rFont val="Calibri"/>
        <family val="2"/>
      </rPr>
      <t>(t)</t>
    </r>
  </si>
  <si>
    <t xml:space="preserve">% ušteda energije </t>
  </si>
  <si>
    <r>
      <t>% ušteda CO</t>
    </r>
    <r>
      <rPr>
        <b/>
        <vertAlign val="subscript"/>
        <sz val="10"/>
        <color indexed="9"/>
        <rFont val="Calibri"/>
        <family val="2"/>
      </rPr>
      <t>2</t>
    </r>
  </si>
  <si>
    <t>UKUPNO</t>
  </si>
  <si>
    <t>Opće pretpostavke</t>
  </si>
  <si>
    <t>Dizelski motor - Referentno - Gorivo 1</t>
  </si>
  <si>
    <t>Odabrano</t>
  </si>
  <si>
    <t>Emisije CO2</t>
  </si>
  <si>
    <t>Dizelski motor - Referentno - Gorivo 2</t>
  </si>
  <si>
    <t>Gorivo</t>
  </si>
  <si>
    <t>Jedinica</t>
  </si>
  <si>
    <t>Količina energije</t>
  </si>
  <si>
    <t>Izvor</t>
  </si>
  <si>
    <t>Direktne emisije CO2</t>
  </si>
  <si>
    <t>Indirektne emisije CO2</t>
  </si>
  <si>
    <t>Direktne i indirektne emisije CO2</t>
  </si>
  <si>
    <t>Direktne i indirektne emisije CO2 (Izvor: EU)</t>
  </si>
  <si>
    <t>Dizel</t>
  </si>
  <si>
    <t>Biodizel</t>
  </si>
  <si>
    <t>Benzin</t>
  </si>
  <si>
    <t>Stlačeni prirodni plin</t>
  </si>
  <si>
    <t>UNP (Propan)</t>
  </si>
  <si>
    <t>UNP (Ukapljeni naftni plin)</t>
  </si>
  <si>
    <t>Bioetanol</t>
  </si>
  <si>
    <t>Vodik</t>
  </si>
  <si>
    <t>Vodik plin</t>
  </si>
  <si>
    <t>Dizelski motor - Niskougljično rješenje - Gorivo 1</t>
  </si>
  <si>
    <t>Dizelski motor - Niskougljično rješenje - Gorivo 2</t>
  </si>
  <si>
    <t xml:space="preserve">Prosjek za EU-27 </t>
  </si>
  <si>
    <t>Belgija</t>
  </si>
  <si>
    <t>Bugarska</t>
  </si>
  <si>
    <t>Češka</t>
  </si>
  <si>
    <t>Danska</t>
  </si>
  <si>
    <t>Njemačka</t>
  </si>
  <si>
    <t>Estonija</t>
  </si>
  <si>
    <t>Irska</t>
  </si>
  <si>
    <t>Grčka</t>
  </si>
  <si>
    <t>Španjolska</t>
  </si>
  <si>
    <t>Francuska</t>
  </si>
  <si>
    <t>Italija</t>
  </si>
  <si>
    <t>Cipar</t>
  </si>
  <si>
    <t>Letonija</t>
  </si>
  <si>
    <t>Litva</t>
  </si>
  <si>
    <t>Luksemburg</t>
  </si>
  <si>
    <t>Mađarska</t>
  </si>
  <si>
    <t>Nizozemska</t>
  </si>
  <si>
    <t>Austrija</t>
  </si>
  <si>
    <t>Poljska</t>
  </si>
  <si>
    <t>Rumunjska</t>
  </si>
  <si>
    <t>Slovenija</t>
  </si>
  <si>
    <t>Slovačka</t>
  </si>
  <si>
    <t>Finska</t>
  </si>
  <si>
    <t>Švedska</t>
  </si>
  <si>
    <t>Ujedinjeno Kraljevstvo</t>
  </si>
  <si>
    <t>Hrvatska</t>
  </si>
  <si>
    <t>Katalonija</t>
  </si>
  <si>
    <t>Crna Gora</t>
  </si>
  <si>
    <t>Sjeverna Makedonija</t>
  </si>
  <si>
    <t>Turska</t>
  </si>
  <si>
    <t>Albanija</t>
  </si>
  <si>
    <t>Bosna i Hercegovina</t>
  </si>
  <si>
    <t>Možete izmijeniti iznose emisija CO2 (u kg/kWh) u žutim ćelijama.</t>
  </si>
  <si>
    <t>Dodatni izvori:</t>
  </si>
  <si>
    <r>
      <t>Za podatke o emisijama CO2 za putničke automobile vidi</t>
    </r>
    <r>
      <rPr>
        <sz val="10"/>
        <rFont val="Calibri"/>
        <family val="2"/>
      </rPr>
      <t xml:space="preserve"> http://carfueldata.dft.gov.uk/search-new-or-used-cars.aspx</t>
    </r>
  </si>
  <si>
    <r>
      <t>Za podatke o emisijama CO2 za nove kombije vidi</t>
    </r>
    <r>
      <rPr>
        <sz val="10"/>
        <rFont val="Calibri"/>
        <family val="2"/>
      </rPr>
      <t xml:space="preserve"> http://carfueldata.dft.gov.uk/search-new-or-used-cars.aspx, on older vans see  http://ec.europa.eu/clima/news/articles/news_2013061802_en.htm</t>
    </r>
  </si>
  <si>
    <r>
      <t xml:space="preserve">Za podatke o emisijama CO2 za teška vozila, molimo pitajte dobavljača - trenutno ne postoji standard CO2/potrošnja goriva za teška vozila, ali Europska komisija surađuje s kompanijama u izradi alata za mjerenje emisija CO2, više na </t>
    </r>
    <r>
      <rPr>
        <sz val="10"/>
        <rFont val="Calibri"/>
        <family val="2"/>
      </rPr>
      <t xml:space="preserve">http://ec.europa.eu/clima/events/0054/index_en.htm). Dobavljače možete pitati i o potrošnji goriva na razini masene bilance (za cijelu flotu po vozilu). Trebali bi znati ukupan iznos kupljenog goriva i ukupan prijeđen put po vozilu/floti godišnje. </t>
    </r>
  </si>
  <si>
    <r>
      <rPr>
        <b/>
        <sz val="11"/>
        <color indexed="8"/>
        <rFont val="Calibri"/>
        <family val="2"/>
      </rPr>
      <t>KAKO KORISTITI KALKULATOR</t>
    </r>
    <r>
      <rPr>
        <sz val="11"/>
        <color theme="1"/>
        <rFont val="Calibri"/>
        <family val="2"/>
      </rPr>
      <t>: Osnovni radni list kalkulatora zove se "Ulazni podaci".  Na tom radnom listu unesite podatke u ćelije označene narančastom bojom za niskougljično rješenje u usporedbi s referentnim vrijednostima (nužne informacije: a) Broj vozila, b) prosječna udaljenost po vozilu i  c) potrošnja goriva na 100 km).  Kalkulator će onda ponuditi rezultate: a) sadržaj energije za korišteno gorivo, b) emisije u ekvivalentu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 c) uštedu energije i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. </t>
    </r>
  </si>
  <si>
    <r>
      <rPr>
        <b/>
        <sz val="11"/>
        <color indexed="8"/>
        <rFont val="Calibri"/>
        <family val="2"/>
      </rPr>
      <t>BROJ VOZILA I PRIJEĐENA UDALJENOST</t>
    </r>
    <r>
      <rPr>
        <sz val="11"/>
        <color theme="1"/>
        <rFont val="Calibri"/>
        <family val="2"/>
      </rPr>
      <t>: Da bi se dobili točni rezultati, broj vozila i prijeđena udaljenost treba biti jednaka u referentnom i niskougljičnom rješenju. ALI: Ukoliko niskougljično rješenje uključuje veće promjene u načinu organizacije mobilnosti, potrebno je promijeniti i broj vozila i/ili prijeđenu udaljenost.</t>
    </r>
  </si>
  <si>
    <r>
      <rPr>
        <b/>
        <sz val="11"/>
        <color indexed="8"/>
        <rFont val="Calibri"/>
        <family val="2"/>
      </rPr>
      <t>OGRANIČENJA</t>
    </r>
    <r>
      <rPr>
        <sz val="11"/>
        <color theme="1"/>
        <rFont val="Calibri"/>
        <family val="2"/>
      </rPr>
      <t>: Kalkulator uključuje direktne i indirektne emisije stakleničkih plinova iz goriva</t>
    </r>
    <r>
      <rPr>
        <sz val="11"/>
        <color indexed="8"/>
        <rFont val="Calibri"/>
        <family val="2"/>
      </rPr>
      <t xml:space="preserve"> (direktne emisije = emisije tijekom vožnje; indirektne emisije = emisije kod proizvodnje goriva). Ne uključuje emisije nastale zbog životnog ciklusa samog vozila (na primjer emisije od proizvodnje i odlaganja vozila).</t>
    </r>
  </si>
  <si>
    <r>
      <rPr>
        <b/>
        <sz val="11"/>
        <color indexed="8"/>
        <rFont val="Calibri"/>
        <family val="2"/>
      </rPr>
      <t>UTJECAJ NA OKOLIŠ</t>
    </r>
    <r>
      <rPr>
        <sz val="11"/>
        <color theme="1"/>
        <rFont val="Calibri"/>
        <family val="2"/>
      </rPr>
      <t xml:space="preserve">: Kalkulator daje informacije o utjecaju na okoliš u obliku </t>
    </r>
    <r>
      <rPr>
        <b/>
        <sz val="11"/>
        <color indexed="8"/>
        <rFont val="Calibri"/>
        <family val="2"/>
      </rPr>
      <t>ekvivalenta emisija CO2 (drugi staklenički plinovi nisu uključeni).</t>
    </r>
  </si>
  <si>
    <t>Vidi 2009/28/EC, Annex III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</si>
</sst>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0.000"/>
    <numFmt numFmtId="181" formatCode="#,##0.000"/>
    <numFmt numFmtId="182" formatCode="0.0%"/>
    <numFmt numFmtId="183" formatCode="#,##0.000_ ;\-#,##0.000\ "/>
    <numFmt numFmtId="184" formatCode="&quot;€&quot;\ #,##0.000;\-&quot;€&quot;\ 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8"/>
      <name val="Calibri"/>
      <family val="2"/>
    </font>
    <font>
      <b/>
      <sz val="8"/>
      <name val="Calibri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vertAlign val="subscript"/>
      <sz val="10"/>
      <color indexed="9"/>
      <name val="Calibri"/>
      <family val="2"/>
    </font>
    <font>
      <sz val="9"/>
      <name val="Segoe UI"/>
      <family val="2"/>
    </font>
    <font>
      <b/>
      <sz val="20"/>
      <name val="Calibri"/>
      <family val="2"/>
    </font>
    <font>
      <sz val="8"/>
      <name val="Calibri"/>
      <family val="2"/>
    </font>
    <font>
      <b/>
      <vertAlign val="subscript"/>
      <sz val="20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9"/>
      <name val="Calibri"/>
      <family val="2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8"/>
      <color indexed="22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sz val="7"/>
      <color indexed="22"/>
      <name val="Calibri"/>
      <family val="2"/>
    </font>
    <font>
      <sz val="7"/>
      <color indexed="23"/>
      <name val="Calibri"/>
      <family val="2"/>
    </font>
    <font>
      <sz val="9"/>
      <color indexed="23"/>
      <name val="Calibri"/>
      <family val="2"/>
    </font>
    <font>
      <sz val="20"/>
      <name val="Calibri"/>
      <family val="2"/>
    </font>
    <font>
      <b/>
      <sz val="12.5"/>
      <name val="Calibri"/>
      <family val="2"/>
    </font>
    <font>
      <b/>
      <i/>
      <sz val="12.5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b/>
      <i/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7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b/>
      <i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B8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/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/>
      <top style="thin">
        <color indexed="23"/>
      </top>
      <bottom style="double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23"/>
      </left>
      <right style="thin">
        <color theme="0" tint="-0.149959996342659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theme="0" tint="-0.149959996342659"/>
      </right>
      <top style="thin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thin">
        <color indexed="23"/>
      </top>
      <bottom/>
    </border>
    <border>
      <left style="double">
        <color indexed="23"/>
      </left>
      <right>
        <color indexed="63"/>
      </right>
      <top/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thin">
        <color indexed="23"/>
      </bottom>
    </border>
    <border>
      <left/>
      <right/>
      <top style="double">
        <color indexed="23"/>
      </top>
      <bottom style="thin">
        <color indexed="23"/>
      </bottom>
    </border>
    <border>
      <left/>
      <right style="double">
        <color indexed="23"/>
      </right>
      <top style="double">
        <color indexed="23"/>
      </top>
      <bottom style="thin">
        <color indexed="23"/>
      </bottom>
    </border>
    <border>
      <left style="thin">
        <color theme="0" tint="-0.14993000030517578"/>
      </left>
      <right style="thin">
        <color theme="0" tint="-0.149959996342659"/>
      </right>
      <top style="double">
        <color theme="0" tint="-0.14990000426769257"/>
      </top>
      <bottom style="double">
        <color theme="0" tint="-0.14990000426769257"/>
      </bottom>
    </border>
    <border>
      <left style="thin">
        <color theme="0" tint="-0.149959996342659"/>
      </left>
      <right style="thin">
        <color theme="0" tint="-0.149959996342659"/>
      </right>
      <top style="double">
        <color theme="0" tint="-0.14990000426769257"/>
      </top>
      <bottom style="double">
        <color theme="0" tint="-0.14990000426769257"/>
      </bottom>
    </border>
    <border>
      <left style="thin">
        <color theme="0" tint="-0.149959996342659"/>
      </left>
      <right style="double">
        <color theme="0" tint="-0.14990000426769257"/>
      </right>
      <top style="double">
        <color theme="0" tint="-0.14990000426769257"/>
      </top>
      <bottom style="double">
        <color theme="0" tint="-0.14990000426769257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double">
        <color indexed="2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/>
    </border>
    <border>
      <left style="double">
        <color indexed="23"/>
      </left>
      <right style="thin">
        <color indexed="23"/>
      </right>
      <top/>
      <bottom style="thin">
        <color indexed="23"/>
      </bottom>
    </border>
    <border>
      <left style="double">
        <color indexed="23"/>
      </left>
      <right style="thin">
        <color indexed="23"/>
      </right>
      <top/>
      <bottom style="double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14993000030517578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1" applyNumberFormat="0" applyFont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1" fillId="28" borderId="2" applyNumberFormat="0" applyAlignment="0" applyProtection="0"/>
    <xf numFmtId="0" fontId="62" fillId="28" borderId="3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51" applyFont="1" applyProtection="1">
      <alignment/>
      <protection/>
    </xf>
    <xf numFmtId="0" fontId="7" fillId="0" borderId="0" xfId="51" applyFont="1" applyFill="1" applyBorder="1" applyAlignment="1" applyProtection="1">
      <alignment horizontal="left"/>
      <protection/>
    </xf>
    <xf numFmtId="0" fontId="7" fillId="0" borderId="0" xfId="51" applyFont="1" applyFill="1" applyBorder="1" applyProtection="1">
      <alignment/>
      <protection/>
    </xf>
    <xf numFmtId="0" fontId="7" fillId="0" borderId="0" xfId="51" applyFont="1" applyFill="1" applyBorder="1" applyAlignment="1" applyProtection="1">
      <alignment/>
      <protection/>
    </xf>
    <xf numFmtId="3" fontId="7" fillId="2" borderId="11" xfId="51" applyNumberFormat="1" applyFont="1" applyFill="1" applyBorder="1" applyAlignment="1" applyProtection="1">
      <alignment horizontal="center"/>
      <protection locked="0"/>
    </xf>
    <xf numFmtId="0" fontId="38" fillId="0" borderId="0" xfId="51" applyFont="1" applyFill="1" applyBorder="1" applyAlignment="1" applyProtection="1">
      <alignment horizontal="right"/>
      <protection/>
    </xf>
    <xf numFmtId="0" fontId="15" fillId="0" borderId="0" xfId="51" applyFont="1" applyFill="1" applyBorder="1" applyAlignment="1" applyProtection="1">
      <alignment horizontal="right"/>
      <protection/>
    </xf>
    <xf numFmtId="3" fontId="15" fillId="0" borderId="0" xfId="51" applyNumberFormat="1" applyFont="1" applyFill="1" applyBorder="1" applyAlignment="1" applyProtection="1">
      <alignment horizontal="center"/>
      <protection/>
    </xf>
    <xf numFmtId="0" fontId="7" fillId="0" borderId="0" xfId="51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75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42" fillId="0" borderId="0" xfId="0" applyFont="1" applyAlignment="1">
      <alignment/>
    </xf>
    <xf numFmtId="0" fontId="42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0" borderId="0" xfId="51" applyFont="1" applyFill="1" applyBorder="1" applyAlignment="1" applyProtection="1">
      <alignment horizontal="right"/>
      <protection/>
    </xf>
    <xf numFmtId="3" fontId="43" fillId="0" borderId="0" xfId="51" applyNumberFormat="1" applyFont="1" applyFill="1" applyBorder="1" applyAlignment="1" applyProtection="1">
      <alignment horizontal="center"/>
      <protection/>
    </xf>
    <xf numFmtId="0" fontId="44" fillId="0" borderId="0" xfId="51" applyFont="1" applyFill="1" applyBorder="1" applyProtection="1">
      <alignment/>
      <protection/>
    </xf>
    <xf numFmtId="0" fontId="44" fillId="0" borderId="0" xfId="51" applyFont="1" applyProtection="1">
      <alignment/>
      <protection/>
    </xf>
    <xf numFmtId="3" fontId="7" fillId="36" borderId="12" xfId="51" applyNumberFormat="1" applyFont="1" applyFill="1" applyBorder="1" applyAlignment="1" applyProtection="1">
      <alignment horizontal="center"/>
      <protection locked="0"/>
    </xf>
    <xf numFmtId="178" fontId="7" fillId="36" borderId="12" xfId="51" applyNumberFormat="1" applyFont="1" applyFill="1" applyBorder="1" applyAlignment="1" applyProtection="1">
      <alignment horizontal="center"/>
      <protection locked="0"/>
    </xf>
    <xf numFmtId="3" fontId="7" fillId="36" borderId="13" xfId="51" applyNumberFormat="1" applyFont="1" applyFill="1" applyBorder="1" applyAlignment="1" applyProtection="1">
      <alignment horizontal="center"/>
      <protection/>
    </xf>
    <xf numFmtId="178" fontId="7" fillId="36" borderId="14" xfId="51" applyNumberFormat="1" applyFont="1" applyFill="1" applyBorder="1" applyAlignment="1" applyProtection="1">
      <alignment horizontal="center"/>
      <protection locked="0"/>
    </xf>
    <xf numFmtId="3" fontId="7" fillId="36" borderId="11" xfId="51" applyNumberFormat="1" applyFont="1" applyFill="1" applyBorder="1" applyAlignment="1" applyProtection="1">
      <alignment horizontal="center"/>
      <protection locked="0"/>
    </xf>
    <xf numFmtId="3" fontId="7" fillId="36" borderId="15" xfId="51" applyNumberFormat="1" applyFont="1" applyFill="1" applyBorder="1" applyAlignment="1" applyProtection="1">
      <alignment horizontal="center"/>
      <protection locked="0"/>
    </xf>
    <xf numFmtId="0" fontId="15" fillId="37" borderId="16" xfId="51" applyFont="1" applyFill="1" applyBorder="1" applyAlignment="1" applyProtection="1">
      <alignment horizontal="center" wrapText="1"/>
      <protection/>
    </xf>
    <xf numFmtId="0" fontId="15" fillId="37" borderId="17" xfId="51" applyFont="1" applyFill="1" applyBorder="1" applyAlignment="1" applyProtection="1">
      <alignment horizontal="center" wrapText="1"/>
      <protection/>
    </xf>
    <xf numFmtId="3" fontId="45" fillId="38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51" applyFont="1" applyBorder="1" applyAlignment="1" applyProtection="1">
      <alignment horizontal="left" vertical="center"/>
      <protection/>
    </xf>
    <xf numFmtId="0" fontId="7" fillId="0" borderId="18" xfId="51" applyFont="1" applyFill="1" applyBorder="1" applyProtection="1">
      <alignment/>
      <protection/>
    </xf>
    <xf numFmtId="0" fontId="7" fillId="0" borderId="18" xfId="51" applyFont="1" applyBorder="1" applyProtection="1">
      <alignment/>
      <protection/>
    </xf>
    <xf numFmtId="179" fontId="7" fillId="37" borderId="12" xfId="51" applyNumberFormat="1" applyFont="1" applyFill="1" applyBorder="1" applyAlignment="1" applyProtection="1">
      <alignment horizontal="center"/>
      <protection locked="0"/>
    </xf>
    <xf numFmtId="3" fontId="7" fillId="37" borderId="12" xfId="51" applyNumberFormat="1" applyFont="1" applyFill="1" applyBorder="1" applyAlignment="1" applyProtection="1">
      <alignment horizontal="center"/>
      <protection locked="0"/>
    </xf>
    <xf numFmtId="179" fontId="7" fillId="37" borderId="14" xfId="51" applyNumberFormat="1" applyFont="1" applyFill="1" applyBorder="1" applyAlignment="1" applyProtection="1">
      <alignment horizontal="center"/>
      <protection locked="0"/>
    </xf>
    <xf numFmtId="3" fontId="7" fillId="37" borderId="14" xfId="51" applyNumberFormat="1" applyFont="1" applyFill="1" applyBorder="1" applyAlignment="1" applyProtection="1">
      <alignment horizontal="center"/>
      <protection locked="0"/>
    </xf>
    <xf numFmtId="3" fontId="7" fillId="38" borderId="12" xfId="51" applyNumberFormat="1" applyFont="1" applyFill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8" fontId="7" fillId="39" borderId="11" xfId="51" applyNumberFormat="1" applyFont="1" applyFill="1" applyBorder="1" applyAlignment="1" applyProtection="1">
      <alignment horizontal="center"/>
      <protection locked="0"/>
    </xf>
    <xf numFmtId="3" fontId="7" fillId="39" borderId="11" xfId="51" applyNumberFormat="1" applyFont="1" applyFill="1" applyBorder="1" applyAlignment="1" applyProtection="1">
      <alignment horizontal="center"/>
      <protection locked="0"/>
    </xf>
    <xf numFmtId="178" fontId="7" fillId="39" borderId="19" xfId="51" applyNumberFormat="1" applyFont="1" applyFill="1" applyBorder="1" applyAlignment="1" applyProtection="1">
      <alignment horizontal="center"/>
      <protection locked="0"/>
    </xf>
    <xf numFmtId="3" fontId="7" fillId="39" borderId="12" xfId="51" applyNumberFormat="1" applyFont="1" applyFill="1" applyBorder="1" applyAlignment="1" applyProtection="1">
      <alignment horizontal="center"/>
      <protection locked="0"/>
    </xf>
    <xf numFmtId="3" fontId="7" fillId="39" borderId="14" xfId="51" applyNumberFormat="1" applyFont="1" applyFill="1" applyBorder="1" applyAlignment="1" applyProtection="1">
      <alignment horizontal="center"/>
      <protection locked="0"/>
    </xf>
    <xf numFmtId="3" fontId="7" fillId="39" borderId="12" xfId="51" applyNumberFormat="1" applyFont="1" applyFill="1" applyBorder="1" applyAlignment="1" applyProtection="1">
      <alignment horizontal="center"/>
      <protection/>
    </xf>
    <xf numFmtId="0" fontId="7" fillId="0" borderId="10" xfId="51" applyFont="1" applyFill="1" applyBorder="1" applyProtection="1">
      <alignment/>
      <protection/>
    </xf>
    <xf numFmtId="0" fontId="46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38" fillId="38" borderId="20" xfId="0" applyFont="1" applyFill="1" applyBorder="1" applyAlignment="1" applyProtection="1">
      <alignment horizontal="left" indent="1"/>
      <protection/>
    </xf>
    <xf numFmtId="0" fontId="38" fillId="38" borderId="18" xfId="0" applyFont="1" applyFill="1" applyBorder="1" applyAlignment="1" applyProtection="1">
      <alignment horizontal="center"/>
      <protection locked="0"/>
    </xf>
    <xf numFmtId="0" fontId="38" fillId="38" borderId="21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0" fontId="45" fillId="38" borderId="22" xfId="0" applyFont="1" applyFill="1" applyBorder="1" applyAlignment="1" applyProtection="1">
      <alignment horizontal="left" indent="1"/>
      <protection/>
    </xf>
    <xf numFmtId="183" fontId="47" fillId="38" borderId="0" xfId="0" applyNumberFormat="1" applyFont="1" applyFill="1" applyBorder="1" applyAlignment="1" applyProtection="1">
      <alignment horizontal="center"/>
      <protection locked="0"/>
    </xf>
    <xf numFmtId="184" fontId="47" fillId="38" borderId="23" xfId="0" applyNumberFormat="1" applyFont="1" applyFill="1" applyBorder="1" applyAlignment="1" applyProtection="1">
      <alignment horizontal="center"/>
      <protection locked="0"/>
    </xf>
    <xf numFmtId="0" fontId="48" fillId="40" borderId="24" xfId="0" applyFont="1" applyFill="1" applyBorder="1" applyAlignment="1" applyProtection="1">
      <alignment/>
      <protection/>
    </xf>
    <xf numFmtId="0" fontId="45" fillId="40" borderId="25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 horizontal="left"/>
      <protection locked="0"/>
    </xf>
    <xf numFmtId="180" fontId="45" fillId="36" borderId="26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78" fillId="0" borderId="0" xfId="0" applyFont="1" applyAlignment="1" applyProtection="1">
      <alignment horizontal="left"/>
      <protection locked="0"/>
    </xf>
    <xf numFmtId="0" fontId="79" fillId="40" borderId="27" xfId="0" applyFont="1" applyFill="1" applyBorder="1" applyAlignment="1" applyProtection="1">
      <alignment horizontal="left" wrapText="1" indent="1"/>
      <protection/>
    </xf>
    <xf numFmtId="0" fontId="79" fillId="40" borderId="28" xfId="0" applyFont="1" applyFill="1" applyBorder="1" applyAlignment="1" applyProtection="1">
      <alignment horizontal="left" wrapText="1" indent="1"/>
      <protection/>
    </xf>
    <xf numFmtId="180" fontId="45" fillId="36" borderId="29" xfId="0" applyNumberFormat="1" applyFont="1" applyFill="1" applyBorder="1" applyAlignment="1" applyProtection="1">
      <alignment/>
      <protection/>
    </xf>
    <xf numFmtId="0" fontId="8" fillId="41" borderId="10" xfId="0" applyFont="1" applyFill="1" applyBorder="1" applyAlignment="1" applyProtection="1">
      <alignment horizontal="left" wrapText="1" indent="1"/>
      <protection/>
    </xf>
    <xf numFmtId="180" fontId="8" fillId="36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wrapText="1" indent="1"/>
      <protection/>
    </xf>
    <xf numFmtId="181" fontId="8" fillId="40" borderId="10" xfId="0" applyNumberFormat="1" applyFont="1" applyFill="1" applyBorder="1" applyAlignment="1" applyProtection="1">
      <alignment horizontal="center"/>
      <protection locked="0"/>
    </xf>
    <xf numFmtId="3" fontId="7" fillId="39" borderId="11" xfId="51" applyNumberFormat="1" applyFont="1" applyFill="1" applyBorder="1" applyAlignment="1" applyProtection="1">
      <alignment horizontal="center"/>
      <protection/>
    </xf>
    <xf numFmtId="181" fontId="0" fillId="0" borderId="10" xfId="0" applyNumberFormat="1" applyFont="1" applyBorder="1" applyAlignment="1">
      <alignment horizontal="center"/>
    </xf>
    <xf numFmtId="3" fontId="80" fillId="42" borderId="30" xfId="51" applyNumberFormat="1" applyFont="1" applyFill="1" applyBorder="1" applyAlignment="1" applyProtection="1">
      <alignment horizontal="center" vertical="center" wrapText="1"/>
      <protection/>
    </xf>
    <xf numFmtId="3" fontId="80" fillId="42" borderId="31" xfId="51" applyNumberFormat="1" applyFont="1" applyFill="1" applyBorder="1" applyAlignment="1" applyProtection="1">
      <alignment horizontal="center" vertical="center" wrapText="1"/>
      <protection/>
    </xf>
    <xf numFmtId="9" fontId="80" fillId="42" borderId="31" xfId="51" applyNumberFormat="1" applyFont="1" applyFill="1" applyBorder="1" applyAlignment="1" applyProtection="1">
      <alignment horizontal="center" vertical="center" wrapText="1"/>
      <protection/>
    </xf>
    <xf numFmtId="3" fontId="43" fillId="0" borderId="0" xfId="51" applyNumberFormat="1" applyFont="1" applyAlignment="1" applyProtection="1">
      <alignment horizontal="center"/>
      <protection/>
    </xf>
    <xf numFmtId="9" fontId="43" fillId="0" borderId="0" xfId="51" applyNumberFormat="1" applyFont="1" applyAlignment="1" applyProtection="1">
      <alignment horizontal="center"/>
      <protection/>
    </xf>
    <xf numFmtId="0" fontId="15" fillId="0" borderId="0" xfId="51" applyFont="1" applyFill="1" applyBorder="1" applyAlignment="1" applyProtection="1">
      <alignment/>
      <protection/>
    </xf>
    <xf numFmtId="3" fontId="45" fillId="37" borderId="12" xfId="51" applyNumberFormat="1" applyFont="1" applyFill="1" applyBorder="1" applyAlignment="1" applyProtection="1">
      <alignment horizontal="center"/>
      <protection locked="0"/>
    </xf>
    <xf numFmtId="3" fontId="45" fillId="39" borderId="11" xfId="51" applyNumberFormat="1" applyFont="1" applyFill="1" applyBorder="1" applyAlignment="1" applyProtection="1">
      <alignment horizontal="center"/>
      <protection locked="0"/>
    </xf>
    <xf numFmtId="3" fontId="45" fillId="39" borderId="12" xfId="51" applyNumberFormat="1" applyFont="1" applyFill="1" applyBorder="1" applyAlignment="1" applyProtection="1">
      <alignment horizontal="center"/>
      <protection locked="0"/>
    </xf>
    <xf numFmtId="3" fontId="80" fillId="42" borderId="32" xfId="51" applyNumberFormat="1" applyFont="1" applyFill="1" applyBorder="1" applyAlignment="1" applyProtection="1">
      <alignment horizontal="center" wrapText="1"/>
      <protection/>
    </xf>
    <xf numFmtId="3" fontId="80" fillId="42" borderId="33" xfId="51" applyNumberFormat="1" applyFont="1" applyFill="1" applyBorder="1" applyAlignment="1" applyProtection="1">
      <alignment horizontal="center" wrapText="1"/>
      <protection/>
    </xf>
    <xf numFmtId="3" fontId="7" fillId="39" borderId="34" xfId="51" applyNumberFormat="1" applyFont="1" applyFill="1" applyBorder="1" applyAlignment="1" applyProtection="1">
      <alignment horizontal="center"/>
      <protection locked="0"/>
    </xf>
    <xf numFmtId="3" fontId="7" fillId="7" borderId="14" xfId="51" applyNumberFormat="1" applyFont="1" applyFill="1" applyBorder="1" applyAlignment="1" applyProtection="1">
      <alignment horizontal="center"/>
      <protection locked="0"/>
    </xf>
    <xf numFmtId="3" fontId="45" fillId="37" borderId="14" xfId="51" applyNumberFormat="1" applyFont="1" applyFill="1" applyBorder="1" applyAlignment="1" applyProtection="1">
      <alignment horizontal="center"/>
      <protection locked="0"/>
    </xf>
    <xf numFmtId="3" fontId="7" fillId="2" borderId="19" xfId="51" applyNumberFormat="1" applyFont="1" applyFill="1" applyBorder="1" applyAlignment="1" applyProtection="1">
      <alignment horizontal="center"/>
      <protection locked="0"/>
    </xf>
    <xf numFmtId="178" fontId="45" fillId="39" borderId="19" xfId="51" applyNumberFormat="1" applyFont="1" applyFill="1" applyBorder="1" applyAlignment="1" applyProtection="1">
      <alignment horizontal="center"/>
      <protection locked="0"/>
    </xf>
    <xf numFmtId="3" fontId="45" fillId="39" borderId="14" xfId="51" applyNumberFormat="1" applyFont="1" applyFill="1" applyBorder="1" applyAlignment="1" applyProtection="1">
      <alignment horizontal="center"/>
      <protection locked="0"/>
    </xf>
    <xf numFmtId="3" fontId="7" fillId="39" borderId="35" xfId="51" applyNumberFormat="1" applyFont="1" applyFill="1" applyBorder="1" applyAlignment="1" applyProtection="1">
      <alignment horizontal="center"/>
      <protection locked="0"/>
    </xf>
    <xf numFmtId="180" fontId="8" fillId="36" borderId="26" xfId="0" applyNumberFormat="1" applyFont="1" applyFill="1" applyBorder="1" applyAlignment="1" applyProtection="1">
      <alignment horizontal="center"/>
      <protection/>
    </xf>
    <xf numFmtId="0" fontId="15" fillId="39" borderId="16" xfId="51" applyFont="1" applyFill="1" applyBorder="1" applyAlignment="1" applyProtection="1">
      <alignment horizontal="center" wrapText="1"/>
      <protection/>
    </xf>
    <xf numFmtId="0" fontId="15" fillId="39" borderId="17" xfId="51" applyFont="1" applyFill="1" applyBorder="1" applyAlignment="1" applyProtection="1">
      <alignment horizontal="center" wrapText="1"/>
      <protection/>
    </xf>
    <xf numFmtId="0" fontId="7" fillId="0" borderId="0" xfId="5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wrapText="1" indent="1"/>
    </xf>
    <xf numFmtId="0" fontId="19" fillId="0" borderId="0" xfId="51" applyFont="1" applyBorder="1" applyAlignment="1" applyProtection="1">
      <alignment vertical="center"/>
      <protection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5" borderId="0" xfId="0" applyFont="1" applyFill="1" applyAlignment="1">
      <alignment horizontal="left" vertical="top" wrapText="1"/>
    </xf>
    <xf numFmtId="0" fontId="0" fillId="40" borderId="0" xfId="0" applyFont="1" applyFill="1" applyAlignment="1">
      <alignment horizontal="left" wrapText="1"/>
    </xf>
    <xf numFmtId="3" fontId="7" fillId="36" borderId="36" xfId="51" applyNumberFormat="1" applyFont="1" applyFill="1" applyBorder="1" applyAlignment="1" applyProtection="1">
      <alignment horizontal="center" vertical="center"/>
      <protection/>
    </xf>
    <xf numFmtId="3" fontId="7" fillId="36" borderId="37" xfId="51" applyNumberFormat="1" applyFont="1" applyFill="1" applyBorder="1" applyAlignment="1" applyProtection="1">
      <alignment horizontal="center" vertical="center"/>
      <protection/>
    </xf>
    <xf numFmtId="3" fontId="80" fillId="42" borderId="30" xfId="51" applyNumberFormat="1" applyFont="1" applyFill="1" applyBorder="1" applyAlignment="1" applyProtection="1">
      <alignment horizontal="center" vertical="center" wrapText="1"/>
      <protection/>
    </xf>
    <xf numFmtId="0" fontId="53" fillId="37" borderId="38" xfId="51" applyFont="1" applyFill="1" applyBorder="1" applyAlignment="1" applyProtection="1">
      <alignment horizontal="center"/>
      <protection/>
    </xf>
    <xf numFmtId="0" fontId="53" fillId="37" borderId="39" xfId="51" applyFont="1" applyFill="1" applyBorder="1" applyAlignment="1" applyProtection="1">
      <alignment horizontal="center"/>
      <protection/>
    </xf>
    <xf numFmtId="0" fontId="53" fillId="37" borderId="40" xfId="51" applyFont="1" applyFill="1" applyBorder="1" applyAlignment="1" applyProtection="1">
      <alignment horizontal="center"/>
      <protection/>
    </xf>
    <xf numFmtId="3" fontId="81" fillId="42" borderId="41" xfId="51" applyNumberFormat="1" applyFont="1" applyFill="1" applyBorder="1" applyAlignment="1" applyProtection="1">
      <alignment horizontal="center" wrapText="1"/>
      <protection/>
    </xf>
    <xf numFmtId="3" fontId="81" fillId="42" borderId="42" xfId="51" applyNumberFormat="1" applyFont="1" applyFill="1" applyBorder="1" applyAlignment="1" applyProtection="1">
      <alignment horizontal="center" wrapText="1"/>
      <protection/>
    </xf>
    <xf numFmtId="3" fontId="81" fillId="42" borderId="43" xfId="51" applyNumberFormat="1" applyFont="1" applyFill="1" applyBorder="1" applyAlignment="1" applyProtection="1">
      <alignment horizontal="center" wrapText="1"/>
      <protection/>
    </xf>
    <xf numFmtId="3" fontId="7" fillId="37" borderId="44" xfId="51" applyNumberFormat="1" applyFont="1" applyFill="1" applyBorder="1" applyAlignment="1" applyProtection="1">
      <alignment horizontal="center" vertical="center"/>
      <protection locked="0"/>
    </xf>
    <xf numFmtId="3" fontId="0" fillId="37" borderId="45" xfId="0" applyNumberFormat="1" applyFill="1" applyBorder="1" applyAlignment="1">
      <alignment horizontal="center" vertical="center"/>
    </xf>
    <xf numFmtId="3" fontId="7" fillId="36" borderId="44" xfId="51" applyNumberFormat="1" applyFont="1" applyFill="1" applyBorder="1" applyAlignment="1" applyProtection="1">
      <alignment horizontal="center" vertical="center"/>
      <protection/>
    </xf>
    <xf numFmtId="3" fontId="7" fillId="36" borderId="45" xfId="51" applyNumberFormat="1" applyFont="1" applyFill="1" applyBorder="1" applyAlignment="1" applyProtection="1">
      <alignment horizontal="center" vertical="center"/>
      <protection/>
    </xf>
    <xf numFmtId="3" fontId="80" fillId="42" borderId="46" xfId="51" applyNumberFormat="1" applyFont="1" applyFill="1" applyBorder="1" applyAlignment="1" applyProtection="1">
      <alignment horizontal="center" vertical="center" wrapText="1"/>
      <protection/>
    </xf>
    <xf numFmtId="3" fontId="80" fillId="42" borderId="47" xfId="51" applyNumberFormat="1" applyFont="1" applyFill="1" applyBorder="1" applyAlignment="1" applyProtection="1">
      <alignment horizontal="center" vertical="center" wrapText="1"/>
      <protection/>
    </xf>
    <xf numFmtId="0" fontId="7" fillId="34" borderId="48" xfId="51" applyFont="1" applyFill="1" applyBorder="1" applyAlignment="1" applyProtection="1">
      <alignment horizontal="center"/>
      <protection/>
    </xf>
    <xf numFmtId="0" fontId="7" fillId="34" borderId="0" xfId="51" applyFont="1" applyFill="1" applyBorder="1" applyAlignment="1" applyProtection="1">
      <alignment horizontal="center"/>
      <protection/>
    </xf>
    <xf numFmtId="0" fontId="7" fillId="34" borderId="49" xfId="51" applyFont="1" applyFill="1" applyBorder="1" applyAlignment="1" applyProtection="1">
      <alignment horizontal="center"/>
      <protection/>
    </xf>
    <xf numFmtId="9" fontId="80" fillId="42" borderId="31" xfId="51" applyNumberFormat="1" applyFont="1" applyFill="1" applyBorder="1" applyAlignment="1" applyProtection="1">
      <alignment horizontal="center" vertical="center" wrapText="1"/>
      <protection/>
    </xf>
    <xf numFmtId="3" fontId="7" fillId="37" borderId="50" xfId="51" applyNumberFormat="1" applyFont="1" applyFill="1" applyBorder="1" applyAlignment="1" applyProtection="1">
      <alignment horizontal="center" vertical="center"/>
      <protection locked="0"/>
    </xf>
    <xf numFmtId="3" fontId="7" fillId="36" borderId="51" xfId="51" applyNumberFormat="1" applyFont="1" applyFill="1" applyBorder="1" applyAlignment="1" applyProtection="1">
      <alignment horizontal="center" vertical="center"/>
      <protection locked="0"/>
    </xf>
    <xf numFmtId="3" fontId="7" fillId="36" borderId="52" xfId="51" applyNumberFormat="1" applyFont="1" applyFill="1" applyBorder="1" applyAlignment="1" applyProtection="1">
      <alignment horizontal="center" vertical="center"/>
      <protection locked="0"/>
    </xf>
    <xf numFmtId="3" fontId="7" fillId="39" borderId="44" xfId="51" applyNumberFormat="1" applyFont="1" applyFill="1" applyBorder="1" applyAlignment="1" applyProtection="1">
      <alignment horizontal="center" vertical="center"/>
      <protection/>
    </xf>
    <xf numFmtId="3" fontId="0" fillId="39" borderId="50" xfId="0" applyNumberFormat="1" applyFill="1" applyBorder="1" applyAlignment="1">
      <alignment horizontal="center" vertical="center"/>
    </xf>
    <xf numFmtId="3" fontId="7" fillId="36" borderId="53" xfId="51" applyNumberFormat="1" applyFont="1" applyFill="1" applyBorder="1" applyAlignment="1" applyProtection="1">
      <alignment horizontal="center" vertical="center"/>
      <protection locked="0"/>
    </xf>
    <xf numFmtId="3" fontId="7" fillId="36" borderId="44" xfId="51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19" fillId="0" borderId="0" xfId="51" applyFont="1" applyBorder="1" applyAlignment="1" applyProtection="1">
      <alignment horizontal="left" vertical="center"/>
      <protection/>
    </xf>
    <xf numFmtId="0" fontId="54" fillId="0" borderId="0" xfId="51" applyFont="1" applyFill="1" applyBorder="1" applyAlignment="1" applyProtection="1">
      <alignment/>
      <protection/>
    </xf>
    <xf numFmtId="0" fontId="15" fillId="37" borderId="54" xfId="51" applyFont="1" applyFill="1" applyBorder="1" applyAlignment="1" applyProtection="1">
      <alignment horizontal="center" wrapText="1"/>
      <protection/>
    </xf>
    <xf numFmtId="0" fontId="15" fillId="37" borderId="55" xfId="51" applyFont="1" applyFill="1" applyBorder="1" applyAlignment="1" applyProtection="1">
      <alignment horizontal="center" wrapText="1"/>
      <protection/>
    </xf>
    <xf numFmtId="3" fontId="80" fillId="42" borderId="31" xfId="51" applyNumberFormat="1" applyFont="1" applyFill="1" applyBorder="1" applyAlignment="1" applyProtection="1">
      <alignment horizontal="center" vertical="center" wrapText="1"/>
      <protection/>
    </xf>
    <xf numFmtId="4" fontId="8" fillId="40" borderId="56" xfId="0" applyNumberFormat="1" applyFont="1" applyFill="1" applyBorder="1" applyAlignment="1" applyProtection="1">
      <alignment horizontal="right"/>
      <protection/>
    </xf>
    <xf numFmtId="0" fontId="0" fillId="0" borderId="57" xfId="0" applyBorder="1" applyAlignment="1">
      <alignment horizontal="right"/>
    </xf>
    <xf numFmtId="0" fontId="15" fillId="39" borderId="54" xfId="51" applyFont="1" applyFill="1" applyBorder="1" applyAlignment="1" applyProtection="1">
      <alignment horizontal="center" wrapText="1"/>
      <protection/>
    </xf>
    <xf numFmtId="0" fontId="15" fillId="39" borderId="55" xfId="51" applyFont="1" applyFill="1" applyBorder="1" applyAlignment="1" applyProtection="1">
      <alignment horizontal="center" wrapText="1"/>
      <protection/>
    </xf>
    <xf numFmtId="0" fontId="53" fillId="39" borderId="38" xfId="51" applyFont="1" applyFill="1" applyBorder="1" applyAlignment="1" applyProtection="1">
      <alignment horizontal="center"/>
      <protection/>
    </xf>
    <xf numFmtId="0" fontId="53" fillId="39" borderId="39" xfId="51" applyFont="1" applyFill="1" applyBorder="1" applyAlignment="1" applyProtection="1">
      <alignment horizontal="center"/>
      <protection/>
    </xf>
    <xf numFmtId="0" fontId="53" fillId="39" borderId="58" xfId="51" applyFont="1" applyFill="1" applyBorder="1" applyAlignment="1" applyProtection="1">
      <alignment horizontal="center"/>
      <protection/>
    </xf>
    <xf numFmtId="3" fontId="0" fillId="39" borderId="45" xfId="0" applyNumberFormat="1" applyFill="1" applyBorder="1" applyAlignment="1">
      <alignment horizontal="center" vertical="center"/>
    </xf>
    <xf numFmtId="0" fontId="7" fillId="0" borderId="0" xfId="51" applyFont="1" applyFill="1" applyBorder="1" applyAlignment="1" applyProtection="1">
      <alignment horizontal="left" vertical="center" wrapText="1"/>
      <protection/>
    </xf>
    <xf numFmtId="0" fontId="7" fillId="0" borderId="0" xfId="51" applyFont="1" applyFill="1" applyBorder="1" applyAlignment="1" applyProtection="1">
      <alignment horizontal="left" vertical="center"/>
      <protection/>
    </xf>
    <xf numFmtId="0" fontId="82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83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34" borderId="56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73" fillId="35" borderId="56" xfId="0" applyFont="1" applyFill="1" applyBorder="1" applyAlignment="1">
      <alignment horizontal="center"/>
    </xf>
    <xf numFmtId="0" fontId="73" fillId="35" borderId="59" xfId="0" applyFont="1" applyFill="1" applyBorder="1" applyAlignment="1">
      <alignment horizontal="center"/>
    </xf>
    <xf numFmtId="0" fontId="73" fillId="35" borderId="57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Calc_Copier_bulk_04-29-09" xfId="50"/>
    <cellStyle name="Normal_office equipment calculator - rough draft 110909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14</xdr:row>
      <xdr:rowOff>9525</xdr:rowOff>
    </xdr:from>
    <xdr:to>
      <xdr:col>14</xdr:col>
      <xdr:colOff>1552575</xdr:colOff>
      <xdr:row>25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14490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zoomScalePageLayoutView="0" workbookViewId="0" topLeftCell="A1">
      <selection activeCell="B9" sqref="B9:O9"/>
    </sheetView>
  </sheetViews>
  <sheetFormatPr defaultColWidth="11.421875" defaultRowHeight="15"/>
  <cols>
    <col min="1" max="1" width="0.9921875" style="14" customWidth="1"/>
    <col min="2" max="14" width="11.421875" style="4" customWidth="1"/>
    <col min="15" max="15" width="29.7109375" style="4" customWidth="1"/>
    <col min="16" max="16384" width="11.421875" style="4" customWidth="1"/>
  </cols>
  <sheetData>
    <row r="1" spans="2:12" ht="30.75">
      <c r="B1" s="109" t="s">
        <v>17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5" ht="7.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5" ht="15">
      <c r="B3" s="112" t="s">
        <v>16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2:15" ht="4.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ht="33.75" customHeight="1">
      <c r="B5" s="113" t="s">
        <v>109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0" ht="8.25" customHeight="1">
      <c r="B6" s="111"/>
      <c r="C6" s="111"/>
      <c r="D6" s="111"/>
      <c r="E6" s="111"/>
      <c r="F6" s="111"/>
      <c r="G6" s="111"/>
      <c r="H6" s="111"/>
      <c r="I6" s="111"/>
      <c r="J6" s="111"/>
    </row>
    <row r="7" spans="2:15" ht="18" customHeight="1">
      <c r="B7" s="113" t="s">
        <v>110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ht="10.5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2:15" ht="49.5" customHeight="1">
      <c r="B9" s="114" t="s">
        <v>107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0" ht="7.5" customHeight="1">
      <c r="B10" s="111"/>
      <c r="C10" s="111"/>
      <c r="D10" s="111"/>
      <c r="E10" s="111"/>
      <c r="F10" s="111"/>
      <c r="G10" s="111"/>
      <c r="H10" s="111"/>
      <c r="I10" s="111"/>
      <c r="J10" s="111"/>
    </row>
    <row r="11" spans="2:15" ht="60.75" customHeight="1">
      <c r="B11" s="115" t="s">
        <v>18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0" s="14" customFormat="1" ht="7.5" customHeight="1">
      <c r="B12" s="111"/>
      <c r="C12" s="111"/>
      <c r="D12" s="111"/>
      <c r="E12" s="111"/>
      <c r="F12" s="111"/>
      <c r="G12" s="111"/>
      <c r="H12" s="111"/>
      <c r="I12" s="111"/>
      <c r="J12" s="111"/>
    </row>
    <row r="13" spans="2:15" ht="32.25" customHeight="1">
      <c r="B13" s="113" t="s">
        <v>108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2:10" s="14" customFormat="1" ht="11.25" customHeight="1">
      <c r="B14" s="111"/>
      <c r="C14" s="111"/>
      <c r="D14" s="111"/>
      <c r="E14" s="111"/>
      <c r="F14" s="111"/>
      <c r="G14" s="111"/>
      <c r="H14" s="111"/>
      <c r="I14" s="111"/>
      <c r="J14" s="111"/>
    </row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/>
  <mergeCells count="14">
    <mergeCell ref="B12:J12"/>
    <mergeCell ref="B14:J14"/>
    <mergeCell ref="B11:O11"/>
    <mergeCell ref="B13:O13"/>
    <mergeCell ref="B1:L1"/>
    <mergeCell ref="B10:J10"/>
    <mergeCell ref="B6:J6"/>
    <mergeCell ref="B3:O3"/>
    <mergeCell ref="B5:O5"/>
    <mergeCell ref="B2:O2"/>
    <mergeCell ref="B4:O4"/>
    <mergeCell ref="B7:O7"/>
    <mergeCell ref="B8:O8"/>
    <mergeCell ref="B9:O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A50"/>
  <sheetViews>
    <sheetView zoomScalePageLayoutView="0" workbookViewId="0" topLeftCell="A1">
      <pane xSplit="1" topLeftCell="M1" activePane="topRight" state="frozen"/>
      <selection pane="topLeft" activeCell="A7" sqref="A7"/>
      <selection pane="topRight" activeCell="X6" sqref="X6"/>
    </sheetView>
  </sheetViews>
  <sheetFormatPr defaultColWidth="14.28125" defaultRowHeight="15"/>
  <cols>
    <col min="1" max="1" width="39.28125" style="13" customWidth="1"/>
    <col min="2" max="2" width="13.8515625" style="5" customWidth="1"/>
    <col min="3" max="3" width="14.7109375" style="5" customWidth="1"/>
    <col min="4" max="4" width="16.57421875" style="5" customWidth="1"/>
    <col min="5" max="5" width="5.140625" style="5" customWidth="1"/>
    <col min="6" max="6" width="6.57421875" style="5" customWidth="1"/>
    <col min="7" max="7" width="8.421875" style="5" customWidth="1"/>
    <col min="8" max="8" width="9.57421875" style="5" customWidth="1"/>
    <col min="9" max="9" width="10.421875" style="5" customWidth="1"/>
    <col min="10" max="10" width="4.28125" style="5" customWidth="1"/>
    <col min="11" max="12" width="14.140625" style="5" customWidth="1"/>
    <col min="13" max="13" width="12.28125" style="5" customWidth="1"/>
    <col min="14" max="14" width="14.28125" style="5" customWidth="1"/>
    <col min="15" max="15" width="16.7109375" style="5" customWidth="1"/>
    <col min="16" max="16" width="4.421875" style="5" customWidth="1"/>
    <col min="17" max="17" width="6.57421875" style="5" customWidth="1"/>
    <col min="18" max="18" width="7.8515625" style="5" customWidth="1"/>
    <col min="19" max="19" width="9.7109375" style="5" customWidth="1"/>
    <col min="20" max="20" width="12.28125" style="5" customWidth="1"/>
    <col min="21" max="21" width="4.7109375" style="5" customWidth="1"/>
    <col min="22" max="22" width="12.7109375" style="5" customWidth="1"/>
    <col min="23" max="23" width="11.7109375" style="5" customWidth="1"/>
    <col min="24" max="24" width="11.140625" style="5" customWidth="1"/>
    <col min="25" max="25" width="9.421875" style="5" customWidth="1"/>
    <col min="26" max="26" width="11.421875" style="5" customWidth="1"/>
    <col min="27" max="27" width="11.00390625" style="5" customWidth="1"/>
    <col min="28" max="16384" width="14.28125" style="5" customWidth="1"/>
  </cols>
  <sheetData>
    <row r="1" spans="1:21" ht="34.5" customHeight="1">
      <c r="A1" s="143" t="s">
        <v>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5.75" customHeight="1">
      <c r="A2" s="148" t="s">
        <v>20</v>
      </c>
      <c r="B2" s="149"/>
      <c r="C2" s="5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6.5" customHeight="1">
      <c r="A3" s="148" t="s">
        <v>21</v>
      </c>
      <c r="B3" s="149"/>
      <c r="C3" s="83">
        <f>'Opće pretpostavke'!C44</f>
        <v>0.305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7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27" ht="22.5" customHeight="1" thickBot="1" thickTop="1">
      <c r="A5" s="41"/>
      <c r="B5" s="119" t="s">
        <v>22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152" t="s">
        <v>23</v>
      </c>
      <c r="N5" s="153"/>
      <c r="O5" s="153"/>
      <c r="P5" s="153"/>
      <c r="Q5" s="153"/>
      <c r="R5" s="153"/>
      <c r="S5" s="153"/>
      <c r="T5" s="153"/>
      <c r="U5" s="153"/>
      <c r="V5" s="153"/>
      <c r="W5" s="154"/>
      <c r="X5" s="122" t="s">
        <v>39</v>
      </c>
      <c r="Y5" s="123"/>
      <c r="Z5" s="123"/>
      <c r="AA5" s="124"/>
    </row>
    <row r="6" spans="1:27" ht="66" customHeight="1" thickTop="1">
      <c r="A6" s="6"/>
      <c r="B6" s="39" t="s">
        <v>24</v>
      </c>
      <c r="C6" s="40" t="s">
        <v>25</v>
      </c>
      <c r="D6" s="40" t="s">
        <v>26</v>
      </c>
      <c r="E6" s="145" t="s">
        <v>27</v>
      </c>
      <c r="F6" s="146"/>
      <c r="G6" s="145" t="s">
        <v>28</v>
      </c>
      <c r="H6" s="146"/>
      <c r="I6" s="145" t="s">
        <v>29</v>
      </c>
      <c r="J6" s="146"/>
      <c r="K6" s="40" t="s">
        <v>30</v>
      </c>
      <c r="L6" s="40" t="s">
        <v>31</v>
      </c>
      <c r="M6" s="105" t="s">
        <v>24</v>
      </c>
      <c r="N6" s="106" t="s">
        <v>25</v>
      </c>
      <c r="O6" s="106" t="s">
        <v>26</v>
      </c>
      <c r="P6" s="150" t="s">
        <v>27</v>
      </c>
      <c r="Q6" s="151"/>
      <c r="R6" s="150" t="s">
        <v>28</v>
      </c>
      <c r="S6" s="151"/>
      <c r="T6" s="150" t="s">
        <v>29</v>
      </c>
      <c r="U6" s="151"/>
      <c r="V6" s="106" t="s">
        <v>30</v>
      </c>
      <c r="W6" s="106" t="s">
        <v>31</v>
      </c>
      <c r="X6" s="95" t="s">
        <v>40</v>
      </c>
      <c r="Y6" s="96" t="s">
        <v>41</v>
      </c>
      <c r="Z6" s="96" t="s">
        <v>42</v>
      </c>
      <c r="AA6" s="96" t="s">
        <v>43</v>
      </c>
    </row>
    <row r="7" spans="1:27" ht="17.25" customHeight="1">
      <c r="A7" s="107" t="s">
        <v>32</v>
      </c>
      <c r="B7" s="136">
        <v>0</v>
      </c>
      <c r="C7" s="33">
        <v>0</v>
      </c>
      <c r="D7" s="49"/>
      <c r="E7" s="45">
        <f>VLOOKUP('Opće pretpostavke'!D3,'Opće pretpostavke'!A5:D11,4)</f>
        <v>32</v>
      </c>
      <c r="F7" s="92" t="str">
        <f>VLOOKUP('Opće pretpostavke'!D3,'Opće pretpostavke'!A5:F11,5)</f>
        <v>MJ/l</v>
      </c>
      <c r="G7" s="34">
        <v>0</v>
      </c>
      <c r="H7" s="92" t="str">
        <f>VLOOKUP('Opće pretpostavke'!D3,'Opće pretpostavke'!A5:F12,3)</f>
        <v>l/100 km</v>
      </c>
      <c r="I7" s="46">
        <f>G7/100*C7*B7</f>
        <v>0</v>
      </c>
      <c r="J7" s="92" t="str">
        <f>VLOOKUP('Opće pretpostavke'!D3,'Opće pretpostavke'!A5:F12,6)</f>
        <v>l</v>
      </c>
      <c r="K7" s="125">
        <f>(I7*E7+E8*I8)*0.0000238846</f>
        <v>0</v>
      </c>
      <c r="L7" s="46">
        <f>VLOOKUP('Opće pretpostavke'!D3,'Opće pretpostavke'!A4:M11,12)/1000*G7/100*B7*C7</f>
        <v>0</v>
      </c>
      <c r="M7" s="136">
        <v>0</v>
      </c>
      <c r="N7" s="37">
        <v>0</v>
      </c>
      <c r="O7" s="9"/>
      <c r="P7" s="52">
        <f>VLOOKUP('Opće pretpostavke'!R3,'Opće pretpostavke'!O5:T11,4)</f>
        <v>33</v>
      </c>
      <c r="Q7" s="93" t="str">
        <f>VLOOKUP('Opće pretpostavke'!R3,'Opće pretpostavke'!O5:T11,5)</f>
        <v>MJ/l</v>
      </c>
      <c r="R7" s="34">
        <v>0</v>
      </c>
      <c r="S7" s="94" t="str">
        <f>VLOOKUP('Opće pretpostavke'!R3,'Opće pretpostavke'!O5:T146,3)</f>
        <v>l/100 km</v>
      </c>
      <c r="T7" s="55">
        <f>R7/100*N7*M7</f>
        <v>0</v>
      </c>
      <c r="U7" s="55" t="str">
        <f>VLOOKUP('Opće pretpostavke'!R3,'Opće pretpostavke'!O5:T11,6)</f>
        <v>l</v>
      </c>
      <c r="V7" s="138">
        <f>(T7*P7+P8*T8)*0.0000238846</f>
        <v>0</v>
      </c>
      <c r="W7" s="53">
        <f>VLOOKUP('Opće pretpostavke'!R3,'Opće pretpostavke'!O5:AA11,12)/1000*'Ulazni podaci'!R7/100*'Ulazni podaci'!N7*'Ulazni podaci'!M7</f>
        <v>0</v>
      </c>
      <c r="X7" s="118">
        <f>K7-V7</f>
        <v>0</v>
      </c>
      <c r="Y7" s="147">
        <f>(L7+L8)-(W7+W8)</f>
        <v>0</v>
      </c>
      <c r="Z7" s="134" t="e">
        <f>X7/K7</f>
        <v>#DIV/0!</v>
      </c>
      <c r="AA7" s="134" t="e">
        <f>Y7/(L7+L8)</f>
        <v>#DIV/0!</v>
      </c>
    </row>
    <row r="8" spans="1:27" ht="17.25" customHeight="1">
      <c r="A8" s="107" t="s">
        <v>33</v>
      </c>
      <c r="B8" s="137"/>
      <c r="C8" s="33">
        <v>0</v>
      </c>
      <c r="D8" s="7"/>
      <c r="E8" s="45">
        <f>VLOOKUP('Opće pretpostavke'!D13,'Opće pretpostavke'!A15:F21,4)</f>
        <v>33</v>
      </c>
      <c r="F8" s="92" t="str">
        <f>VLOOKUP('Opće pretpostavke'!D13,'Opće pretpostavke'!A15:F21,5)</f>
        <v>MJ/l</v>
      </c>
      <c r="G8" s="34">
        <v>0</v>
      </c>
      <c r="H8" s="92" t="str">
        <f>VLOOKUP('Opće pretpostavke'!D13,'Opće pretpostavke'!A15:F16,3)</f>
        <v>l/100 km</v>
      </c>
      <c r="I8" s="46">
        <f>G8/100*C8*B7</f>
        <v>0</v>
      </c>
      <c r="J8" s="92" t="str">
        <f>VLOOKUP('Opće pretpostavke'!D13,'Opće pretpostavke'!A15:F16,6)</f>
        <v>l</v>
      </c>
      <c r="K8" s="135"/>
      <c r="L8" s="46">
        <f>VLOOKUP('Opće pretpostavke'!D13,'Opće pretpostavke'!A14:M21,12)/1000*G8/100*B7*C8</f>
        <v>0</v>
      </c>
      <c r="M8" s="137"/>
      <c r="N8" s="37">
        <v>0</v>
      </c>
      <c r="O8" s="9"/>
      <c r="P8" s="52">
        <f>VLOOKUP('Opće pretpostavke'!R13,'Opće pretpostavke'!O15:T21,4)</f>
        <v>33</v>
      </c>
      <c r="Q8" s="93" t="str">
        <f>VLOOKUP('Opće pretpostavke'!R13,'Opće pretpostavke'!O15:T16,5)</f>
        <v>MJ/l</v>
      </c>
      <c r="R8" s="34">
        <v>0</v>
      </c>
      <c r="S8" s="94" t="str">
        <f>VLOOKUP('Opće pretpostavke'!R13,'Opće pretpostavke'!O15:T16,3)</f>
        <v>l/100 km</v>
      </c>
      <c r="T8" s="55">
        <f>R8/100*N8*M7</f>
        <v>0</v>
      </c>
      <c r="U8" s="55" t="str">
        <f>VLOOKUP('Opće pretpostavke'!R3,'Opće pretpostavke'!O5:T11,6)</f>
        <v>l</v>
      </c>
      <c r="V8" s="139"/>
      <c r="W8" s="53">
        <f>VLOOKUP('Opće pretpostavke'!R13,'Opće pretpostavke'!O15:AA21,12)/1000*'Ulazni podaci'!R8/100*'Ulazni podaci'!N8*'Ulazni podaci'!M7</f>
        <v>0</v>
      </c>
      <c r="X8" s="118"/>
      <c r="Y8" s="147"/>
      <c r="Z8" s="134"/>
      <c r="AA8" s="134"/>
    </row>
    <row r="9" spans="1:27" ht="9.75" customHeight="1">
      <c r="A9" s="8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</row>
    <row r="10" spans="1:27" ht="17.25" customHeight="1">
      <c r="A10" s="91" t="s">
        <v>34</v>
      </c>
      <c r="B10" s="35">
        <v>0</v>
      </c>
      <c r="C10" s="33">
        <v>0</v>
      </c>
      <c r="D10" s="46" t="s">
        <v>38</v>
      </c>
      <c r="E10" s="45">
        <f>'Opće pretpostavke'!D25</f>
        <v>3.6</v>
      </c>
      <c r="F10" s="92" t="str">
        <f>'Opće pretpostavke'!E25</f>
        <v>MJ/kWh</v>
      </c>
      <c r="G10" s="34">
        <v>0</v>
      </c>
      <c r="H10" s="92" t="str">
        <f>"kWh/100km"</f>
        <v>kWh/100km</v>
      </c>
      <c r="I10" s="46">
        <f>G10/100*C10*B10</f>
        <v>0</v>
      </c>
      <c r="J10" s="92" t="str">
        <f>"kWh"</f>
        <v>kWh</v>
      </c>
      <c r="K10" s="46">
        <f>(I10*E10)*0.0000238846</f>
        <v>0</v>
      </c>
      <c r="L10" s="46">
        <f>G10/100*C3*C10*B10/1000</f>
        <v>0</v>
      </c>
      <c r="M10" s="38">
        <v>0</v>
      </c>
      <c r="N10" s="37">
        <v>0</v>
      </c>
      <c r="O10" s="53" t="s">
        <v>38</v>
      </c>
      <c r="P10" s="52">
        <f>'Opće pretpostavke'!D25</f>
        <v>3.6</v>
      </c>
      <c r="Q10" s="93" t="str">
        <f>'Opće pretpostavke'!E25</f>
        <v>MJ/kWh</v>
      </c>
      <c r="R10" s="34">
        <v>0</v>
      </c>
      <c r="S10" s="94" t="str">
        <f>"kWh/100km"</f>
        <v>kWh/100km</v>
      </c>
      <c r="T10" s="55">
        <f>R10/100*N10*M10</f>
        <v>0</v>
      </c>
      <c r="U10" s="55" t="str">
        <f>"kWh"</f>
        <v>kWh</v>
      </c>
      <c r="V10" s="57">
        <f>(T10*P10)*0.0000238846</f>
        <v>0</v>
      </c>
      <c r="W10" s="84">
        <f>M10*N10*R10/100*C3/1000</f>
        <v>0</v>
      </c>
      <c r="X10" s="86">
        <f>K10-V10</f>
        <v>0</v>
      </c>
      <c r="Y10" s="87">
        <f>L10-W10</f>
        <v>0</v>
      </c>
      <c r="Z10" s="88" t="e">
        <f>X10/K10</f>
        <v>#DIV/0!</v>
      </c>
      <c r="AA10" s="88" t="e">
        <f>Y10/L10</f>
        <v>#DIV/0!</v>
      </c>
    </row>
    <row r="11" spans="1:27" ht="9.75" customHeight="1">
      <c r="A11" s="8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3"/>
    </row>
    <row r="12" spans="1:27" ht="18" customHeight="1">
      <c r="A12" s="91" t="s">
        <v>35</v>
      </c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3"/>
    </row>
    <row r="13" spans="1:27" ht="17.25" customHeight="1">
      <c r="A13" s="10" t="s">
        <v>36</v>
      </c>
      <c r="B13" s="116">
        <v>0</v>
      </c>
      <c r="C13" s="127">
        <v>0</v>
      </c>
      <c r="D13" s="46" t="s">
        <v>38</v>
      </c>
      <c r="E13" s="45">
        <f>'Opće pretpostavke'!D25</f>
        <v>3.6</v>
      </c>
      <c r="F13" s="92" t="str">
        <f>'Opće pretpostavke'!E25</f>
        <v>MJ/kWh</v>
      </c>
      <c r="G13" s="34">
        <v>0</v>
      </c>
      <c r="H13" s="92" t="str">
        <f>"kWh/100km"</f>
        <v>kWh/100km</v>
      </c>
      <c r="I13" s="46">
        <f>G13/100*C13*B13</f>
        <v>0</v>
      </c>
      <c r="J13" s="92" t="str">
        <f>"kWh"</f>
        <v>kWh</v>
      </c>
      <c r="K13" s="125">
        <f>(I13*E13+E14*I14)*0.0000238846</f>
        <v>0</v>
      </c>
      <c r="L13" s="46">
        <f>G13/100*C13*B13*C3/1000</f>
        <v>0</v>
      </c>
      <c r="M13" s="136">
        <v>0</v>
      </c>
      <c r="N13" s="141">
        <v>0</v>
      </c>
      <c r="O13" s="53" t="s">
        <v>38</v>
      </c>
      <c r="P13" s="52">
        <f>'Opće pretpostavke'!D25</f>
        <v>3.6</v>
      </c>
      <c r="Q13" s="93" t="str">
        <f>'Opće pretpostavke'!E25</f>
        <v>MJ/kWh</v>
      </c>
      <c r="R13" s="34">
        <v>0</v>
      </c>
      <c r="S13" s="94" t="str">
        <f>"kWh/100km"</f>
        <v>kWh/100km</v>
      </c>
      <c r="T13" s="55">
        <f>R13/100*N13*M13</f>
        <v>0</v>
      </c>
      <c r="U13" s="55" t="str">
        <f>"kWh"</f>
        <v>kWh</v>
      </c>
      <c r="V13" s="138">
        <f>(T13*P13+P14*T14)*0.0000238846</f>
        <v>0</v>
      </c>
      <c r="W13" s="97">
        <f>R13/100*C3*N13*M13/1000</f>
        <v>0</v>
      </c>
      <c r="X13" s="129">
        <f>K13-V13</f>
        <v>0</v>
      </c>
      <c r="Y13" s="129">
        <f>(L13+L14)-(W13+W14)</f>
        <v>0</v>
      </c>
      <c r="Z13" s="129" t="e">
        <f>X13/K13</f>
        <v>#DIV/0!</v>
      </c>
      <c r="AA13" s="129" t="e">
        <f>Y13/(L13+L14)</f>
        <v>#DIV/0!</v>
      </c>
    </row>
    <row r="14" spans="1:27" ht="17.25" customHeight="1" thickBot="1">
      <c r="A14" s="10" t="s">
        <v>37</v>
      </c>
      <c r="B14" s="117"/>
      <c r="C14" s="128"/>
      <c r="D14" s="98"/>
      <c r="E14" s="47">
        <f>VLOOKUP('Opće pretpostavke'!D27,'Opće pretpostavke'!A28:F34,4)</f>
        <v>33</v>
      </c>
      <c r="F14" s="99" t="str">
        <f>VLOOKUP('Opće pretpostavke'!D27,'Opće pretpostavke'!A28:E34,5)</f>
        <v>MJ/l</v>
      </c>
      <c r="G14" s="36">
        <v>0</v>
      </c>
      <c r="H14" s="99" t="str">
        <f>VLOOKUP('Opće pretpostavke'!D27,'Opće pretpostavke'!A28:F34,3)</f>
        <v>l/100 km</v>
      </c>
      <c r="I14" s="48">
        <f>G14/100*C13*B13</f>
        <v>0</v>
      </c>
      <c r="J14" s="99" t="str">
        <f>VLOOKUP('Opće pretpostavke'!D27,'Opće pretpostavke'!A28:F34,6)</f>
        <v>l</v>
      </c>
      <c r="K14" s="126"/>
      <c r="L14" s="48">
        <f>VLOOKUP('Opće pretpostavke'!D27,'Opće pretpostavke'!A28:L34,11)/1000*'Ulazni podaci'!G14/100*'Ulazni podaci'!C13*'Ulazni podaci'!B13</f>
        <v>0</v>
      </c>
      <c r="M14" s="140"/>
      <c r="N14" s="142"/>
      <c r="O14" s="100">
        <v>0</v>
      </c>
      <c r="P14" s="54">
        <f>VLOOKUP('Opće pretpostavke'!R27,'Opće pretpostavke'!O28:T34,4)</f>
        <v>33</v>
      </c>
      <c r="Q14" s="101" t="str">
        <f>VLOOKUP('Opće pretpostavke'!R27,'Opće pretpostavke'!O28:T34,5)</f>
        <v>MJ/l</v>
      </c>
      <c r="R14" s="36">
        <v>0</v>
      </c>
      <c r="S14" s="102" t="str">
        <f>VLOOKUP('Opće pretpostavke'!R27,'Opće pretpostavke'!O28:T34,3)</f>
        <v>l/100 km</v>
      </c>
      <c r="T14" s="56">
        <f>R14/100*N13*M13</f>
        <v>0</v>
      </c>
      <c r="U14" s="56" t="str">
        <f>VLOOKUP('Opće pretpostavke'!R27,'Opće pretpostavke'!O28:T34,6)</f>
        <v>l</v>
      </c>
      <c r="V14" s="155"/>
      <c r="W14" s="103">
        <f>VLOOKUP('Opće pretpostavke'!R27,'Opće pretpostavke'!O28:Z34,11)/1000*'Ulazni podaci'!R14/100*'Ulazni podaci'!N13*'Ulazni podaci'!M13</f>
        <v>0</v>
      </c>
      <c r="X14" s="130"/>
      <c r="Y14" s="130"/>
      <c r="Z14" s="130"/>
      <c r="AA14" s="130"/>
    </row>
    <row r="15" spans="1:27" s="32" customFormat="1" ht="17.25" customHeight="1" thickTop="1">
      <c r="A15" s="29" t="s">
        <v>44</v>
      </c>
      <c r="B15" s="30">
        <f>B7+B10+B13</f>
        <v>0</v>
      </c>
      <c r="C15" s="30">
        <f>C7+C8+C10+C13</f>
        <v>0</v>
      </c>
      <c r="D15" s="31"/>
      <c r="E15" s="31"/>
      <c r="F15" s="31"/>
      <c r="G15" s="31"/>
      <c r="H15" s="31"/>
      <c r="I15" s="31"/>
      <c r="J15" s="31"/>
      <c r="K15" s="30">
        <f>K7+K10+K13</f>
        <v>0</v>
      </c>
      <c r="L15" s="30">
        <f>L7+L8+L10+L13+L14</f>
        <v>0</v>
      </c>
      <c r="M15" s="30">
        <f>M7+M10+M13</f>
        <v>0</v>
      </c>
      <c r="N15" s="30">
        <f>SUM(N7+N8+N10+N13)</f>
        <v>0</v>
      </c>
      <c r="O15" s="30"/>
      <c r="P15" s="30"/>
      <c r="Q15" s="30"/>
      <c r="R15" s="31"/>
      <c r="S15" s="30"/>
      <c r="T15" s="31"/>
      <c r="U15" s="30"/>
      <c r="V15" s="30">
        <f>V7+V10+V13</f>
        <v>0</v>
      </c>
      <c r="W15" s="30">
        <f>W7+W8+W10+W13+W14</f>
        <v>0</v>
      </c>
      <c r="X15" s="89">
        <f>X7+X10+X13</f>
        <v>0</v>
      </c>
      <c r="Y15" s="89">
        <f>Y7+Y10+Y13</f>
        <v>0</v>
      </c>
      <c r="Z15" s="90" t="e">
        <f>X15/K15</f>
        <v>#DIV/0!</v>
      </c>
      <c r="AA15" s="90" t="e">
        <f>Y15/L15</f>
        <v>#DIV/0!</v>
      </c>
    </row>
    <row r="16" spans="1:23" ht="7.5" customHeigh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  <c r="N16" s="12"/>
      <c r="O16" s="12"/>
      <c r="P16" s="12"/>
      <c r="Q16" s="12"/>
      <c r="R16" s="7"/>
      <c r="S16" s="12"/>
      <c r="T16" s="7"/>
      <c r="U16" s="12"/>
      <c r="V16" s="7"/>
      <c r="W16" s="7"/>
    </row>
    <row r="17" ht="12.75"/>
    <row r="18" spans="1:21" ht="17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3" ht="17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4"/>
    </row>
    <row r="20" ht="12.75"/>
    <row r="21" ht="12.75"/>
    <row r="22" ht="12.75"/>
    <row r="25" spans="1:21" ht="17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7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7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7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7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7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7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7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7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7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7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7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7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7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7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7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7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7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7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7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7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</sheetData>
  <sheetProtection/>
  <mergeCells count="33">
    <mergeCell ref="Z7:Z8"/>
    <mergeCell ref="T6:U6"/>
    <mergeCell ref="P6:Q6"/>
    <mergeCell ref="R6:S6"/>
    <mergeCell ref="M5:W5"/>
    <mergeCell ref="V13:V14"/>
    <mergeCell ref="M7:M8"/>
    <mergeCell ref="X13:X14"/>
    <mergeCell ref="Z13:Z14"/>
    <mergeCell ref="A1:U1"/>
    <mergeCell ref="A4:U4"/>
    <mergeCell ref="E6:F6"/>
    <mergeCell ref="I6:J6"/>
    <mergeCell ref="G6:H6"/>
    <mergeCell ref="Y7:Y8"/>
    <mergeCell ref="A2:B2"/>
    <mergeCell ref="A3:B3"/>
    <mergeCell ref="Y13:Y14"/>
    <mergeCell ref="K7:K8"/>
    <mergeCell ref="B7:B8"/>
    <mergeCell ref="V7:V8"/>
    <mergeCell ref="M13:M14"/>
    <mergeCell ref="N13:N14"/>
    <mergeCell ref="B13:B14"/>
    <mergeCell ref="X7:X8"/>
    <mergeCell ref="B5:L5"/>
    <mergeCell ref="X5:AA5"/>
    <mergeCell ref="K13:K14"/>
    <mergeCell ref="C13:C14"/>
    <mergeCell ref="AA13:AA14"/>
    <mergeCell ref="B11:AA12"/>
    <mergeCell ref="B9:AA9"/>
    <mergeCell ref="AA7:AA8"/>
  </mergeCells>
  <dataValidations count="3">
    <dataValidation type="list" allowBlank="1" showInputMessage="1" showErrorMessage="1" prompt="If Quantity is 1, input either 0% or 100%." error="You must select an option from the pull-down list." sqref="R65503:S65504">
      <formula1>"100%,78%,75%, 50%,36%,25%,0%"</formula1>
    </dataValidation>
    <dataValidation type="list" allowBlank="1" showInputMessage="1" showErrorMessage="1" prompt="If Quantity is 1, input either 0% or 100%." error="You must select an option from the pull-down list." sqref="R65505:S65505">
      <formula1>"100%,75%,50%,25%,18%,0%"</formula1>
    </dataValidation>
    <dataValidation type="decimal" allowBlank="1" showInputMessage="1" showErrorMessage="1" sqref="C3">
      <formula1>0</formula1>
      <formula2>1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PageLayoutView="0" workbookViewId="0" topLeftCell="A28">
      <selection activeCell="I42" sqref="I42"/>
    </sheetView>
  </sheetViews>
  <sheetFormatPr defaultColWidth="11.421875" defaultRowHeight="15"/>
  <cols>
    <col min="1" max="1" width="10.7109375" style="24" customWidth="1"/>
    <col min="2" max="2" width="24.140625" style="14" customWidth="1"/>
    <col min="3" max="4" width="12.28125" style="14" customWidth="1"/>
    <col min="5" max="5" width="13.8515625" style="14" customWidth="1"/>
    <col min="6" max="6" width="18.57421875" style="14" customWidth="1"/>
    <col min="7" max="7" width="23.7109375" style="14" customWidth="1"/>
    <col min="8" max="8" width="19.421875" style="14" customWidth="1"/>
    <col min="9" max="9" width="17.7109375" style="14" customWidth="1"/>
    <col min="10" max="12" width="20.57421875" style="14" customWidth="1"/>
    <col min="13" max="13" width="12.28125" style="14" customWidth="1"/>
    <col min="14" max="14" width="10.00390625" style="14" customWidth="1"/>
    <col min="15" max="15" width="11.421875" style="24" customWidth="1"/>
    <col min="16" max="16" width="24.8515625" style="14" customWidth="1"/>
    <col min="17" max="17" width="11.421875" style="14" customWidth="1"/>
    <col min="18" max="18" width="9.421875" style="14" customWidth="1"/>
    <col min="19" max="19" width="8.57421875" style="14" customWidth="1"/>
    <col min="20" max="20" width="8.8515625" style="14" customWidth="1"/>
    <col min="21" max="21" width="25.140625" style="14" customWidth="1"/>
    <col min="22" max="16384" width="11.421875" style="14" customWidth="1"/>
  </cols>
  <sheetData>
    <row r="1" spans="1:29" ht="26.25">
      <c r="A1" s="143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21" ht="2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7" ht="15">
      <c r="A3" s="27" t="s">
        <v>46</v>
      </c>
      <c r="B3" s="17"/>
      <c r="C3" s="19" t="s">
        <v>47</v>
      </c>
      <c r="D3" s="50">
        <v>3</v>
      </c>
      <c r="E3" s="19" t="str">
        <f>VLOOKUP(D3,A5:B11,2)</f>
        <v>Benzin</v>
      </c>
      <c r="F3" s="15"/>
      <c r="G3" s="15"/>
      <c r="H3" s="162" t="s">
        <v>48</v>
      </c>
      <c r="I3" s="163"/>
      <c r="J3" s="163"/>
      <c r="K3" s="163"/>
      <c r="L3" s="163"/>
      <c r="M3" s="164"/>
      <c r="O3" s="28" t="s">
        <v>67</v>
      </c>
      <c r="P3" s="18"/>
      <c r="Q3" s="21" t="s">
        <v>47</v>
      </c>
      <c r="R3" s="21">
        <v>2</v>
      </c>
      <c r="S3" s="21" t="str">
        <f>VLOOKUP(R3,O5:T11,2)</f>
        <v>Biodizel</v>
      </c>
      <c r="T3" s="15"/>
      <c r="U3" s="15"/>
      <c r="V3" s="165" t="s">
        <v>48</v>
      </c>
      <c r="W3" s="166"/>
      <c r="X3" s="166"/>
      <c r="Y3" s="166"/>
      <c r="Z3" s="166"/>
      <c r="AA3" s="167"/>
    </row>
    <row r="4" spans="1:27" ht="120">
      <c r="A4" s="2"/>
      <c r="B4" s="2" t="s">
        <v>50</v>
      </c>
      <c r="C4" s="2" t="s">
        <v>51</v>
      </c>
      <c r="D4" s="3" t="s">
        <v>52</v>
      </c>
      <c r="E4" s="2" t="s">
        <v>51</v>
      </c>
      <c r="F4" s="2" t="s">
        <v>51</v>
      </c>
      <c r="G4" s="2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/>
      <c r="M4" s="3"/>
      <c r="O4" s="23"/>
      <c r="P4" s="2" t="s">
        <v>50</v>
      </c>
      <c r="Q4" s="2" t="s">
        <v>51</v>
      </c>
      <c r="R4" s="3" t="s">
        <v>52</v>
      </c>
      <c r="S4" s="2" t="s">
        <v>51</v>
      </c>
      <c r="T4" s="2" t="s">
        <v>51</v>
      </c>
      <c r="U4" s="2" t="s">
        <v>53</v>
      </c>
      <c r="V4" s="3" t="s">
        <v>54</v>
      </c>
      <c r="W4" s="3" t="s">
        <v>55</v>
      </c>
      <c r="X4" s="3" t="s">
        <v>56</v>
      </c>
      <c r="Y4" s="3" t="s">
        <v>57</v>
      </c>
      <c r="Z4" s="3"/>
      <c r="AA4" s="3"/>
    </row>
    <row r="5" spans="1:27" ht="15">
      <c r="A5" s="23">
        <v>1</v>
      </c>
      <c r="B5" s="15" t="s">
        <v>58</v>
      </c>
      <c r="C5" s="15" t="s">
        <v>0</v>
      </c>
      <c r="D5" s="51">
        <v>36</v>
      </c>
      <c r="E5" s="15" t="s">
        <v>2</v>
      </c>
      <c r="F5" s="15" t="s">
        <v>6</v>
      </c>
      <c r="G5" s="15" t="s">
        <v>111</v>
      </c>
      <c r="H5" s="85">
        <f>11.67*0.837*0.249</f>
        <v>2.4321797099999998</v>
      </c>
      <c r="I5" s="85">
        <f>11.67*0.837*0.033</f>
        <v>0.32233707</v>
      </c>
      <c r="J5" s="85">
        <f>SUM(H5:I5)</f>
        <v>2.75451678</v>
      </c>
      <c r="K5" s="85"/>
      <c r="L5" s="85">
        <f>J5</f>
        <v>2.75451678</v>
      </c>
      <c r="M5" s="85" t="s">
        <v>14</v>
      </c>
      <c r="O5" s="23">
        <v>1</v>
      </c>
      <c r="P5" s="15" t="s">
        <v>58</v>
      </c>
      <c r="Q5" s="15" t="s">
        <v>0</v>
      </c>
      <c r="R5" s="18">
        <v>36</v>
      </c>
      <c r="S5" s="15" t="s">
        <v>2</v>
      </c>
      <c r="T5" s="15" t="s">
        <v>6</v>
      </c>
      <c r="U5" s="15" t="s">
        <v>111</v>
      </c>
      <c r="V5" s="85">
        <f>11.67*0.837*0.249</f>
        <v>2.4321797099999998</v>
      </c>
      <c r="W5" s="85">
        <f>11.67*0.837*0.033</f>
        <v>0.32233707</v>
      </c>
      <c r="X5" s="85">
        <f>SUM(V5:W5)</f>
        <v>2.75451678</v>
      </c>
      <c r="Y5" s="85"/>
      <c r="Z5" s="85">
        <f>X5</f>
        <v>2.75451678</v>
      </c>
      <c r="AA5" s="85" t="s">
        <v>14</v>
      </c>
    </row>
    <row r="6" spans="1:27" ht="15">
      <c r="A6" s="23">
        <v>2</v>
      </c>
      <c r="B6" s="15" t="s">
        <v>59</v>
      </c>
      <c r="C6" s="15" t="s">
        <v>0</v>
      </c>
      <c r="D6" s="51">
        <v>33</v>
      </c>
      <c r="E6" s="15" t="s">
        <v>2</v>
      </c>
      <c r="F6" s="15" t="s">
        <v>6</v>
      </c>
      <c r="G6" s="15" t="s">
        <v>111</v>
      </c>
      <c r="H6" s="85">
        <f>10.28*0.892*0.004</f>
        <v>0.03667904</v>
      </c>
      <c r="I6" s="85">
        <f>10.28*0.892*0.102</f>
        <v>0.93531552</v>
      </c>
      <c r="J6" s="85">
        <f>SUM(H6:I6)</f>
        <v>0.97199456</v>
      </c>
      <c r="K6" s="85"/>
      <c r="L6" s="85">
        <f>J6</f>
        <v>0.97199456</v>
      </c>
      <c r="M6" s="85" t="s">
        <v>14</v>
      </c>
      <c r="O6" s="23">
        <v>2</v>
      </c>
      <c r="P6" s="15" t="s">
        <v>59</v>
      </c>
      <c r="Q6" s="15" t="s">
        <v>0</v>
      </c>
      <c r="R6" s="18">
        <v>33</v>
      </c>
      <c r="S6" s="15" t="s">
        <v>2</v>
      </c>
      <c r="T6" s="15" t="s">
        <v>6</v>
      </c>
      <c r="U6" s="15" t="s">
        <v>111</v>
      </c>
      <c r="V6" s="85">
        <f>10.28*0.892*0.004</f>
        <v>0.03667904</v>
      </c>
      <c r="W6" s="85">
        <f>10.28*0.892*0.102</f>
        <v>0.93531552</v>
      </c>
      <c r="X6" s="85">
        <f>SUM(V6:W6)</f>
        <v>0.97199456</v>
      </c>
      <c r="Y6" s="85"/>
      <c r="Z6" s="85">
        <f>X6</f>
        <v>0.97199456</v>
      </c>
      <c r="AA6" s="85" t="s">
        <v>14</v>
      </c>
    </row>
    <row r="7" spans="1:27" ht="15">
      <c r="A7" s="23">
        <v>3</v>
      </c>
      <c r="B7" s="15" t="s">
        <v>60</v>
      </c>
      <c r="C7" s="15" t="s">
        <v>0</v>
      </c>
      <c r="D7" s="51">
        <v>32</v>
      </c>
      <c r="E7" s="15" t="s">
        <v>2</v>
      </c>
      <c r="F7" s="15" t="s">
        <v>6</v>
      </c>
      <c r="G7" s="15"/>
      <c r="H7" s="85">
        <f>11.38*0.744*0.262</f>
        <v>2.21828064</v>
      </c>
      <c r="I7" s="85">
        <f>11.38*0.744*0.067</f>
        <v>0.56727024</v>
      </c>
      <c r="J7" s="85">
        <f>SUM(H7:I7)</f>
        <v>2.78555088</v>
      </c>
      <c r="K7" s="85"/>
      <c r="L7" s="85">
        <f>J7</f>
        <v>2.78555088</v>
      </c>
      <c r="M7" s="85" t="s">
        <v>14</v>
      </c>
      <c r="O7" s="23">
        <v>3</v>
      </c>
      <c r="P7" s="15" t="s">
        <v>60</v>
      </c>
      <c r="Q7" s="15" t="s">
        <v>0</v>
      </c>
      <c r="R7" s="18">
        <v>32</v>
      </c>
      <c r="S7" s="15" t="s">
        <v>2</v>
      </c>
      <c r="T7" s="15" t="s">
        <v>6</v>
      </c>
      <c r="U7" s="15"/>
      <c r="V7" s="85">
        <f>11.38*0.744*0.262</f>
        <v>2.21828064</v>
      </c>
      <c r="W7" s="85">
        <f>11.38*0.744*0.067</f>
        <v>0.56727024</v>
      </c>
      <c r="X7" s="85">
        <f>SUM(V7:W7)</f>
        <v>2.78555088</v>
      </c>
      <c r="Y7" s="85"/>
      <c r="Z7" s="85">
        <f>X7</f>
        <v>2.78555088</v>
      </c>
      <c r="AA7" s="85" t="s">
        <v>14</v>
      </c>
    </row>
    <row r="8" spans="1:27" ht="15">
      <c r="A8" s="23">
        <v>4</v>
      </c>
      <c r="B8" s="15" t="s">
        <v>61</v>
      </c>
      <c r="C8" s="15" t="s">
        <v>1</v>
      </c>
      <c r="D8" s="51">
        <v>36.27</v>
      </c>
      <c r="E8" s="15" t="s">
        <v>3</v>
      </c>
      <c r="F8" s="15" t="s">
        <v>7</v>
      </c>
      <c r="G8" s="15"/>
      <c r="H8" s="85">
        <f>10.14*0.2</f>
        <v>2.028</v>
      </c>
      <c r="I8" s="85">
        <f>10.14*0.052</f>
        <v>0.52728</v>
      </c>
      <c r="J8" s="85">
        <f>SUM(H8:I8)</f>
        <v>2.5552799999999998</v>
      </c>
      <c r="K8" s="85">
        <f>69.3/1000*36.27</f>
        <v>2.5135110000000003</v>
      </c>
      <c r="L8" s="85">
        <f>K8</f>
        <v>2.5135110000000003</v>
      </c>
      <c r="M8" s="85" t="s">
        <v>15</v>
      </c>
      <c r="O8" s="23">
        <v>4</v>
      </c>
      <c r="P8" s="15" t="s">
        <v>61</v>
      </c>
      <c r="Q8" s="15" t="s">
        <v>1</v>
      </c>
      <c r="R8" s="18">
        <v>36.27</v>
      </c>
      <c r="S8" s="15" t="s">
        <v>3</v>
      </c>
      <c r="T8" s="15" t="s">
        <v>7</v>
      </c>
      <c r="U8" s="15"/>
      <c r="V8" s="85">
        <f>10.14*0.2</f>
        <v>2.028</v>
      </c>
      <c r="W8" s="85">
        <f>10.14*0.052</f>
        <v>0.52728</v>
      </c>
      <c r="X8" s="85">
        <f>SUM(V8:W8)</f>
        <v>2.5552799999999998</v>
      </c>
      <c r="Y8" s="85">
        <f>69.3/1000*36.27</f>
        <v>2.5135110000000003</v>
      </c>
      <c r="Z8" s="85">
        <f>Y8</f>
        <v>2.5135110000000003</v>
      </c>
      <c r="AA8" s="85" t="s">
        <v>15</v>
      </c>
    </row>
    <row r="9" spans="1:27" ht="15">
      <c r="A9" s="23">
        <v>5</v>
      </c>
      <c r="B9" s="15" t="s">
        <v>62</v>
      </c>
      <c r="C9" s="15" t="s">
        <v>0</v>
      </c>
      <c r="D9" s="51">
        <v>24</v>
      </c>
      <c r="E9" s="15" t="s">
        <v>2</v>
      </c>
      <c r="F9" s="15" t="s">
        <v>6</v>
      </c>
      <c r="G9" s="15"/>
      <c r="H9" s="85"/>
      <c r="I9" s="85"/>
      <c r="J9" s="85"/>
      <c r="K9" s="85">
        <f>73.6/1000*24</f>
        <v>1.7664</v>
      </c>
      <c r="L9" s="85">
        <f>K9</f>
        <v>1.7664</v>
      </c>
      <c r="M9" s="85" t="s">
        <v>14</v>
      </c>
      <c r="O9" s="23">
        <v>5</v>
      </c>
      <c r="P9" s="15" t="s">
        <v>62</v>
      </c>
      <c r="Q9" s="15" t="s">
        <v>0</v>
      </c>
      <c r="R9" s="18">
        <v>24</v>
      </c>
      <c r="S9" s="15" t="s">
        <v>2</v>
      </c>
      <c r="T9" s="15" t="s">
        <v>6</v>
      </c>
      <c r="U9" s="15"/>
      <c r="V9" s="85"/>
      <c r="W9" s="85"/>
      <c r="X9" s="85"/>
      <c r="Y9" s="85">
        <f>73.6/1000*24</f>
        <v>1.7664</v>
      </c>
      <c r="Z9" s="85">
        <f>Y9</f>
        <v>1.7664</v>
      </c>
      <c r="AA9" s="85" t="s">
        <v>14</v>
      </c>
    </row>
    <row r="10" spans="1:27" ht="15">
      <c r="A10" s="23">
        <v>6</v>
      </c>
      <c r="B10" s="15" t="s">
        <v>63</v>
      </c>
      <c r="C10" s="15" t="s">
        <v>0</v>
      </c>
      <c r="D10" s="51">
        <v>20.83</v>
      </c>
      <c r="E10" s="15" t="s">
        <v>2</v>
      </c>
      <c r="F10" s="15" t="s">
        <v>6</v>
      </c>
      <c r="G10" s="15"/>
      <c r="H10" s="85">
        <f>12.78*0.54*0.231</f>
        <v>1.5941772</v>
      </c>
      <c r="I10" s="85">
        <f>12.78*0.54*0.036</f>
        <v>0.2484432</v>
      </c>
      <c r="J10" s="85">
        <f>SUM(H10:I10)</f>
        <v>1.8426204000000002</v>
      </c>
      <c r="K10" s="85">
        <f>74.5/1000*20.83</f>
        <v>1.5518349999999999</v>
      </c>
      <c r="L10" s="85">
        <f>K10</f>
        <v>1.5518349999999999</v>
      </c>
      <c r="M10" s="85" t="s">
        <v>14</v>
      </c>
      <c r="O10" s="23">
        <v>6</v>
      </c>
      <c r="P10" s="15" t="s">
        <v>63</v>
      </c>
      <c r="Q10" s="15" t="s">
        <v>0</v>
      </c>
      <c r="R10" s="18">
        <v>20.83</v>
      </c>
      <c r="S10" s="15" t="s">
        <v>2</v>
      </c>
      <c r="T10" s="15" t="s">
        <v>6</v>
      </c>
      <c r="U10" s="15"/>
      <c r="V10" s="85">
        <f>12.78*0.54*0.231</f>
        <v>1.5941772</v>
      </c>
      <c r="W10" s="85">
        <f>12.78*0.54*0.036</f>
        <v>0.2484432</v>
      </c>
      <c r="X10" s="85">
        <f>SUM(V10:W10)</f>
        <v>1.8426204000000002</v>
      </c>
      <c r="Y10" s="85">
        <f>74.5/1000*20.83</f>
        <v>1.5518349999999999</v>
      </c>
      <c r="Z10" s="85">
        <f>Y10</f>
        <v>1.5518349999999999</v>
      </c>
      <c r="AA10" s="85" t="s">
        <v>14</v>
      </c>
    </row>
    <row r="11" spans="1:27" ht="15">
      <c r="A11" s="23">
        <v>7</v>
      </c>
      <c r="B11" s="15" t="s">
        <v>64</v>
      </c>
      <c r="C11" s="15" t="s">
        <v>0</v>
      </c>
      <c r="D11" s="51">
        <v>33</v>
      </c>
      <c r="E11" s="15" t="s">
        <v>2</v>
      </c>
      <c r="F11" s="15" t="s">
        <v>6</v>
      </c>
      <c r="G11" s="15"/>
      <c r="H11" s="85">
        <f>7.5*0.778*0.004</f>
        <v>0.02334</v>
      </c>
      <c r="I11" s="85">
        <f>7.5*0.778*0.189</f>
        <v>1.102815</v>
      </c>
      <c r="J11" s="85">
        <f>SUM(H11:I11)</f>
        <v>1.126155</v>
      </c>
      <c r="K11" s="85"/>
      <c r="L11" s="85">
        <f>J11</f>
        <v>1.126155</v>
      </c>
      <c r="M11" s="85" t="s">
        <v>14</v>
      </c>
      <c r="O11" s="23">
        <v>7</v>
      </c>
      <c r="P11" s="15" t="s">
        <v>64</v>
      </c>
      <c r="Q11" s="15" t="s">
        <v>0</v>
      </c>
      <c r="R11" s="18">
        <v>33</v>
      </c>
      <c r="S11" s="15" t="s">
        <v>2</v>
      </c>
      <c r="T11" s="15" t="s">
        <v>6</v>
      </c>
      <c r="U11" s="15"/>
      <c r="V11" s="85">
        <f>7.5*0.778*0.004</f>
        <v>0.02334</v>
      </c>
      <c r="W11" s="85">
        <f>7.5*0.778*0.189</f>
        <v>1.102815</v>
      </c>
      <c r="X11" s="85">
        <f>SUM(V11:W11)</f>
        <v>1.126155</v>
      </c>
      <c r="Y11" s="85"/>
      <c r="Z11" s="85">
        <f>X11</f>
        <v>1.126155</v>
      </c>
      <c r="AA11" s="85" t="s">
        <v>14</v>
      </c>
    </row>
    <row r="12" spans="1:15" ht="15">
      <c r="A12" s="14"/>
      <c r="O12" s="14"/>
    </row>
    <row r="13" spans="1:27" ht="15">
      <c r="A13" s="27" t="s">
        <v>49</v>
      </c>
      <c r="B13" s="17"/>
      <c r="C13" s="19" t="s">
        <v>47</v>
      </c>
      <c r="D13" s="19">
        <v>2</v>
      </c>
      <c r="E13" s="19" t="str">
        <f>VLOOKUP(D13,A15:F21,2)</f>
        <v>Biodizel</v>
      </c>
      <c r="F13" s="15"/>
      <c r="G13" s="15"/>
      <c r="H13" s="162" t="s">
        <v>48</v>
      </c>
      <c r="I13" s="163"/>
      <c r="J13" s="163"/>
      <c r="K13" s="163"/>
      <c r="L13" s="163"/>
      <c r="M13" s="164"/>
      <c r="O13" s="28" t="s">
        <v>68</v>
      </c>
      <c r="P13" s="18"/>
      <c r="Q13" s="21" t="s">
        <v>47</v>
      </c>
      <c r="R13" s="21">
        <v>2</v>
      </c>
      <c r="S13" s="21" t="str">
        <f>VLOOKUP(R13,O15:T21,2)</f>
        <v>Biodizel</v>
      </c>
      <c r="T13" s="15"/>
      <c r="U13" s="15"/>
      <c r="V13" s="165" t="s">
        <v>48</v>
      </c>
      <c r="W13" s="166"/>
      <c r="X13" s="166"/>
      <c r="Y13" s="166"/>
      <c r="Z13" s="166"/>
      <c r="AA13" s="167"/>
    </row>
    <row r="14" spans="1:27" ht="120">
      <c r="A14" s="23"/>
      <c r="B14" s="2" t="s">
        <v>50</v>
      </c>
      <c r="C14" s="2" t="s">
        <v>51</v>
      </c>
      <c r="D14" s="3" t="s">
        <v>52</v>
      </c>
      <c r="E14" s="2" t="s">
        <v>51</v>
      </c>
      <c r="F14" s="2" t="s">
        <v>51</v>
      </c>
      <c r="G14" s="2" t="s">
        <v>53</v>
      </c>
      <c r="H14" s="3" t="s">
        <v>54</v>
      </c>
      <c r="I14" s="3" t="s">
        <v>55</v>
      </c>
      <c r="J14" s="3" t="s">
        <v>56</v>
      </c>
      <c r="K14" s="3" t="s">
        <v>57</v>
      </c>
      <c r="L14" s="3"/>
      <c r="M14" s="3"/>
      <c r="O14" s="23"/>
      <c r="P14" s="2" t="s">
        <v>50</v>
      </c>
      <c r="Q14" s="2" t="s">
        <v>51</v>
      </c>
      <c r="R14" s="3" t="s">
        <v>52</v>
      </c>
      <c r="S14" s="2" t="s">
        <v>51</v>
      </c>
      <c r="T14" s="2" t="s">
        <v>51</v>
      </c>
      <c r="U14" s="2" t="s">
        <v>53</v>
      </c>
      <c r="V14" s="3" t="s">
        <v>54</v>
      </c>
      <c r="W14" s="3" t="s">
        <v>55</v>
      </c>
      <c r="X14" s="3" t="s">
        <v>56</v>
      </c>
      <c r="Y14" s="3" t="s">
        <v>57</v>
      </c>
      <c r="Z14" s="3"/>
      <c r="AA14" s="3"/>
    </row>
    <row r="15" spans="1:27" ht="15">
      <c r="A15" s="23">
        <v>1</v>
      </c>
      <c r="B15" s="15" t="s">
        <v>58</v>
      </c>
      <c r="C15" s="15" t="s">
        <v>0</v>
      </c>
      <c r="D15" s="17">
        <v>36</v>
      </c>
      <c r="E15" s="15" t="s">
        <v>2</v>
      </c>
      <c r="F15" s="15" t="s">
        <v>6</v>
      </c>
      <c r="G15" s="15" t="s">
        <v>111</v>
      </c>
      <c r="H15" s="85">
        <f>11.67*0.837*0.249</f>
        <v>2.4321797099999998</v>
      </c>
      <c r="I15" s="85">
        <f>11.67*0.837*0.033</f>
        <v>0.32233707</v>
      </c>
      <c r="J15" s="85">
        <f>SUM(H15:I15)</f>
        <v>2.75451678</v>
      </c>
      <c r="K15" s="85"/>
      <c r="L15" s="85">
        <f>J15</f>
        <v>2.75451678</v>
      </c>
      <c r="M15" s="85" t="s">
        <v>14</v>
      </c>
      <c r="O15" s="23">
        <v>1</v>
      </c>
      <c r="P15" s="15" t="s">
        <v>58</v>
      </c>
      <c r="Q15" s="15" t="s">
        <v>0</v>
      </c>
      <c r="R15" s="18">
        <v>36</v>
      </c>
      <c r="S15" s="15" t="s">
        <v>2</v>
      </c>
      <c r="T15" s="15" t="s">
        <v>6</v>
      </c>
      <c r="U15" s="15" t="s">
        <v>111</v>
      </c>
      <c r="V15" s="85">
        <f>11.67*0.837*0.249</f>
        <v>2.4321797099999998</v>
      </c>
      <c r="W15" s="85">
        <f>11.67*0.837*0.033</f>
        <v>0.32233707</v>
      </c>
      <c r="X15" s="85">
        <f>SUM(V15:W15)</f>
        <v>2.75451678</v>
      </c>
      <c r="Y15" s="85"/>
      <c r="Z15" s="85">
        <f>X15</f>
        <v>2.75451678</v>
      </c>
      <c r="AA15" s="85" t="s">
        <v>14</v>
      </c>
    </row>
    <row r="16" spans="1:27" ht="15">
      <c r="A16" s="23">
        <v>2</v>
      </c>
      <c r="B16" s="15" t="s">
        <v>59</v>
      </c>
      <c r="C16" s="15" t="s">
        <v>0</v>
      </c>
      <c r="D16" s="17">
        <v>33</v>
      </c>
      <c r="E16" s="15" t="s">
        <v>2</v>
      </c>
      <c r="F16" s="15" t="s">
        <v>6</v>
      </c>
      <c r="G16" s="15" t="s">
        <v>111</v>
      </c>
      <c r="H16" s="85">
        <f>10.28*0.892*0.004</f>
        <v>0.03667904</v>
      </c>
      <c r="I16" s="85">
        <f>10.28*0.892*0.102</f>
        <v>0.93531552</v>
      </c>
      <c r="J16" s="85">
        <f>SUM(H16:I16)</f>
        <v>0.97199456</v>
      </c>
      <c r="K16" s="85"/>
      <c r="L16" s="85">
        <f>J16</f>
        <v>0.97199456</v>
      </c>
      <c r="M16" s="85" t="s">
        <v>14</v>
      </c>
      <c r="O16" s="23">
        <v>2</v>
      </c>
      <c r="P16" s="15" t="s">
        <v>59</v>
      </c>
      <c r="Q16" s="15" t="s">
        <v>0</v>
      </c>
      <c r="R16" s="18">
        <v>33</v>
      </c>
      <c r="S16" s="15" t="s">
        <v>2</v>
      </c>
      <c r="T16" s="15" t="s">
        <v>6</v>
      </c>
      <c r="U16" s="15" t="s">
        <v>111</v>
      </c>
      <c r="V16" s="85">
        <f>10.28*0.892*0.004</f>
        <v>0.03667904</v>
      </c>
      <c r="W16" s="85">
        <f>10.28*0.892*0.102</f>
        <v>0.93531552</v>
      </c>
      <c r="X16" s="85">
        <f>SUM(V16:W16)</f>
        <v>0.97199456</v>
      </c>
      <c r="Y16" s="85"/>
      <c r="Z16" s="85">
        <f>X16</f>
        <v>0.97199456</v>
      </c>
      <c r="AA16" s="85" t="s">
        <v>14</v>
      </c>
    </row>
    <row r="17" spans="1:27" ht="15">
      <c r="A17" s="23">
        <v>3</v>
      </c>
      <c r="B17" s="15" t="s">
        <v>60</v>
      </c>
      <c r="C17" s="15" t="s">
        <v>0</v>
      </c>
      <c r="D17" s="17">
        <v>32</v>
      </c>
      <c r="E17" s="15" t="s">
        <v>2</v>
      </c>
      <c r="F17" s="15" t="s">
        <v>6</v>
      </c>
      <c r="G17" s="15"/>
      <c r="H17" s="85">
        <f>11.38*0.744*0.262</f>
        <v>2.21828064</v>
      </c>
      <c r="I17" s="85">
        <f>11.38*0.744*0.067</f>
        <v>0.56727024</v>
      </c>
      <c r="J17" s="85">
        <f>SUM(H17:I17)</f>
        <v>2.78555088</v>
      </c>
      <c r="K17" s="85"/>
      <c r="L17" s="85">
        <f>J17</f>
        <v>2.78555088</v>
      </c>
      <c r="M17" s="85" t="s">
        <v>14</v>
      </c>
      <c r="O17" s="23">
        <v>3</v>
      </c>
      <c r="P17" s="15" t="s">
        <v>60</v>
      </c>
      <c r="Q17" s="15" t="s">
        <v>0</v>
      </c>
      <c r="R17" s="18">
        <v>32</v>
      </c>
      <c r="S17" s="15" t="s">
        <v>2</v>
      </c>
      <c r="T17" s="15" t="s">
        <v>6</v>
      </c>
      <c r="U17" s="15"/>
      <c r="V17" s="85">
        <f>11.38*0.744*0.262</f>
        <v>2.21828064</v>
      </c>
      <c r="W17" s="85">
        <f>11.38*0.744*0.067</f>
        <v>0.56727024</v>
      </c>
      <c r="X17" s="85">
        <f>SUM(V17:W17)</f>
        <v>2.78555088</v>
      </c>
      <c r="Y17" s="85"/>
      <c r="Z17" s="85">
        <f>X17</f>
        <v>2.78555088</v>
      </c>
      <c r="AA17" s="85" t="s">
        <v>14</v>
      </c>
    </row>
    <row r="18" spans="1:27" ht="15">
      <c r="A18" s="23">
        <v>4</v>
      </c>
      <c r="B18" s="15" t="s">
        <v>61</v>
      </c>
      <c r="C18" s="15" t="s">
        <v>1</v>
      </c>
      <c r="D18" s="17">
        <v>36.27</v>
      </c>
      <c r="E18" s="15" t="s">
        <v>3</v>
      </c>
      <c r="F18" s="15" t="s">
        <v>7</v>
      </c>
      <c r="G18" s="15"/>
      <c r="H18" s="85">
        <f>10.14*0.2</f>
        <v>2.028</v>
      </c>
      <c r="I18" s="85">
        <f>10.14*0.052</f>
        <v>0.52728</v>
      </c>
      <c r="J18" s="85">
        <f>SUM(H18:I18)</f>
        <v>2.5552799999999998</v>
      </c>
      <c r="K18" s="85">
        <f>69.3/1000*36.27</f>
        <v>2.5135110000000003</v>
      </c>
      <c r="L18" s="85">
        <f>K18</f>
        <v>2.5135110000000003</v>
      </c>
      <c r="M18" s="85" t="s">
        <v>15</v>
      </c>
      <c r="O18" s="23">
        <v>4</v>
      </c>
      <c r="P18" s="15" t="s">
        <v>61</v>
      </c>
      <c r="Q18" s="15" t="s">
        <v>1</v>
      </c>
      <c r="R18" s="18">
        <v>36.27</v>
      </c>
      <c r="S18" s="15" t="s">
        <v>3</v>
      </c>
      <c r="T18" s="15" t="s">
        <v>7</v>
      </c>
      <c r="U18" s="15"/>
      <c r="V18" s="85">
        <f>10.14*0.2</f>
        <v>2.028</v>
      </c>
      <c r="W18" s="85">
        <f>10.14*0.052</f>
        <v>0.52728</v>
      </c>
      <c r="X18" s="85">
        <f>SUM(V18:W18)</f>
        <v>2.5552799999999998</v>
      </c>
      <c r="Y18" s="85">
        <f>69.3/1000*36.27</f>
        <v>2.5135110000000003</v>
      </c>
      <c r="Z18" s="85">
        <f>Y18</f>
        <v>2.5135110000000003</v>
      </c>
      <c r="AA18" s="85" t="s">
        <v>15</v>
      </c>
    </row>
    <row r="19" spans="1:27" ht="15">
      <c r="A19" s="23">
        <v>5</v>
      </c>
      <c r="B19" s="15" t="s">
        <v>62</v>
      </c>
      <c r="C19" s="15" t="s">
        <v>0</v>
      </c>
      <c r="D19" s="17">
        <v>24</v>
      </c>
      <c r="E19" s="15" t="s">
        <v>2</v>
      </c>
      <c r="F19" s="15" t="s">
        <v>6</v>
      </c>
      <c r="G19" s="15"/>
      <c r="H19" s="85"/>
      <c r="I19" s="85"/>
      <c r="J19" s="85"/>
      <c r="K19" s="85">
        <f>73.6/1000*24</f>
        <v>1.7664</v>
      </c>
      <c r="L19" s="85">
        <f>K19</f>
        <v>1.7664</v>
      </c>
      <c r="M19" s="85" t="s">
        <v>14</v>
      </c>
      <c r="O19" s="23">
        <v>5</v>
      </c>
      <c r="P19" s="15" t="s">
        <v>62</v>
      </c>
      <c r="Q19" s="15" t="s">
        <v>0</v>
      </c>
      <c r="R19" s="18">
        <v>24</v>
      </c>
      <c r="S19" s="15" t="s">
        <v>2</v>
      </c>
      <c r="T19" s="15" t="s">
        <v>6</v>
      </c>
      <c r="U19" s="15"/>
      <c r="V19" s="85"/>
      <c r="W19" s="85"/>
      <c r="X19" s="85"/>
      <c r="Y19" s="85">
        <f>73.6/1000*24</f>
        <v>1.7664</v>
      </c>
      <c r="Z19" s="85">
        <f>Y19</f>
        <v>1.7664</v>
      </c>
      <c r="AA19" s="85" t="s">
        <v>14</v>
      </c>
    </row>
    <row r="20" spans="1:27" ht="15">
      <c r="A20" s="23">
        <v>6</v>
      </c>
      <c r="B20" s="15" t="s">
        <v>63</v>
      </c>
      <c r="C20" s="15" t="s">
        <v>0</v>
      </c>
      <c r="D20" s="17">
        <v>20.83</v>
      </c>
      <c r="E20" s="15" t="s">
        <v>2</v>
      </c>
      <c r="F20" s="15" t="s">
        <v>6</v>
      </c>
      <c r="G20" s="15"/>
      <c r="H20" s="85">
        <f>12.78*0.54*0.231</f>
        <v>1.5941772</v>
      </c>
      <c r="I20" s="85">
        <f>12.78*0.54*0.036</f>
        <v>0.2484432</v>
      </c>
      <c r="J20" s="85">
        <f>SUM(H20:I20)</f>
        <v>1.8426204000000002</v>
      </c>
      <c r="K20" s="85">
        <f>74.5/1000*20.83</f>
        <v>1.5518349999999999</v>
      </c>
      <c r="L20" s="85">
        <f>K20</f>
        <v>1.5518349999999999</v>
      </c>
      <c r="M20" s="85" t="s">
        <v>14</v>
      </c>
      <c r="O20" s="23">
        <v>6</v>
      </c>
      <c r="P20" s="15" t="s">
        <v>63</v>
      </c>
      <c r="Q20" s="15" t="s">
        <v>0</v>
      </c>
      <c r="R20" s="18">
        <v>20.83</v>
      </c>
      <c r="S20" s="15" t="s">
        <v>2</v>
      </c>
      <c r="T20" s="15" t="s">
        <v>6</v>
      </c>
      <c r="U20" s="15"/>
      <c r="V20" s="85">
        <f>12.78*0.54*0.231</f>
        <v>1.5941772</v>
      </c>
      <c r="W20" s="85">
        <f>12.78*0.54*0.036</f>
        <v>0.2484432</v>
      </c>
      <c r="X20" s="85">
        <f>SUM(V20:W20)</f>
        <v>1.8426204000000002</v>
      </c>
      <c r="Y20" s="85">
        <f>74.5/1000*20.83</f>
        <v>1.5518349999999999</v>
      </c>
      <c r="Z20" s="85">
        <f>Y20</f>
        <v>1.5518349999999999</v>
      </c>
      <c r="AA20" s="85" t="s">
        <v>14</v>
      </c>
    </row>
    <row r="21" spans="1:27" ht="15">
      <c r="A21" s="23">
        <v>7</v>
      </c>
      <c r="B21" s="15" t="s">
        <v>64</v>
      </c>
      <c r="C21" s="15" t="s">
        <v>0</v>
      </c>
      <c r="D21" s="17">
        <v>33</v>
      </c>
      <c r="E21" s="15" t="s">
        <v>2</v>
      </c>
      <c r="F21" s="15" t="s">
        <v>6</v>
      </c>
      <c r="G21" s="15"/>
      <c r="H21" s="85">
        <f>7.5*0.778*0.004</f>
        <v>0.02334</v>
      </c>
      <c r="I21" s="85">
        <f>7.5*0.778*0.189</f>
        <v>1.102815</v>
      </c>
      <c r="J21" s="85">
        <f>SUM(H21:I21)</f>
        <v>1.126155</v>
      </c>
      <c r="K21" s="85"/>
      <c r="L21" s="85">
        <f>J21</f>
        <v>1.126155</v>
      </c>
      <c r="M21" s="85" t="s">
        <v>14</v>
      </c>
      <c r="O21" s="23">
        <v>7</v>
      </c>
      <c r="P21" s="15" t="s">
        <v>64</v>
      </c>
      <c r="Q21" s="15" t="s">
        <v>0</v>
      </c>
      <c r="R21" s="18">
        <v>33</v>
      </c>
      <c r="S21" s="15" t="s">
        <v>2</v>
      </c>
      <c r="T21" s="15" t="s">
        <v>6</v>
      </c>
      <c r="U21" s="15"/>
      <c r="V21" s="85">
        <f>7.5*0.778*0.004</f>
        <v>0.02334</v>
      </c>
      <c r="W21" s="85">
        <f>7.5*0.778*0.189</f>
        <v>1.102815</v>
      </c>
      <c r="X21" s="85">
        <f>SUM(V21:W21)</f>
        <v>1.126155</v>
      </c>
      <c r="Y21" s="85"/>
      <c r="Z21" s="85">
        <f>X21</f>
        <v>1.126155</v>
      </c>
      <c r="AA21" s="85" t="s">
        <v>14</v>
      </c>
    </row>
    <row r="22" ht="15"/>
    <row r="23" spans="1:15" ht="15">
      <c r="A23" s="25" t="s">
        <v>9</v>
      </c>
      <c r="O23" s="25" t="s">
        <v>9</v>
      </c>
    </row>
    <row r="24" spans="2:16" ht="15">
      <c r="B24" s="1" t="s">
        <v>50</v>
      </c>
      <c r="P24" s="1" t="s">
        <v>50</v>
      </c>
    </row>
    <row r="25" spans="1:20" ht="15">
      <c r="A25" s="24">
        <v>1</v>
      </c>
      <c r="B25" s="14" t="s">
        <v>38</v>
      </c>
      <c r="C25" s="14" t="s">
        <v>5</v>
      </c>
      <c r="D25" s="20">
        <v>3.6</v>
      </c>
      <c r="E25" s="14" t="s">
        <v>4</v>
      </c>
      <c r="F25" s="14" t="s">
        <v>8</v>
      </c>
      <c r="O25" s="24">
        <v>1</v>
      </c>
      <c r="P25" s="14" t="s">
        <v>38</v>
      </c>
      <c r="Q25" s="14" t="s">
        <v>5</v>
      </c>
      <c r="R25" s="22">
        <v>3.6</v>
      </c>
      <c r="S25" s="14" t="s">
        <v>4</v>
      </c>
      <c r="T25" s="14" t="s">
        <v>8</v>
      </c>
    </row>
    <row r="26" spans="7:26" ht="15">
      <c r="G26" s="162" t="s">
        <v>48</v>
      </c>
      <c r="H26" s="163"/>
      <c r="I26" s="163"/>
      <c r="J26" s="163"/>
      <c r="K26" s="163"/>
      <c r="L26" s="164"/>
      <c r="U26" s="165" t="s">
        <v>48</v>
      </c>
      <c r="V26" s="166"/>
      <c r="W26" s="166"/>
      <c r="X26" s="166"/>
      <c r="Y26" s="166"/>
      <c r="Z26" s="167"/>
    </row>
    <row r="27" spans="3:26" ht="120">
      <c r="C27" s="20" t="s">
        <v>47</v>
      </c>
      <c r="D27" s="20">
        <v>2</v>
      </c>
      <c r="E27" s="20" t="str">
        <f>VLOOKUP(D27,A28:F34,2)</f>
        <v>Biodizel</v>
      </c>
      <c r="G27" s="3" t="s">
        <v>54</v>
      </c>
      <c r="H27" s="3" t="s">
        <v>55</v>
      </c>
      <c r="I27" s="3" t="s">
        <v>56</v>
      </c>
      <c r="J27" s="3" t="s">
        <v>57</v>
      </c>
      <c r="K27" s="3"/>
      <c r="L27" s="3"/>
      <c r="Q27" s="22" t="s">
        <v>47</v>
      </c>
      <c r="R27" s="22">
        <v>2</v>
      </c>
      <c r="S27" s="22" t="str">
        <f>VLOOKUP(R27,O28:T34,2)</f>
        <v>Biodizel</v>
      </c>
      <c r="U27" s="3" t="s">
        <v>54</v>
      </c>
      <c r="V27" s="3" t="s">
        <v>55</v>
      </c>
      <c r="W27" s="3" t="s">
        <v>56</v>
      </c>
      <c r="X27" s="3" t="s">
        <v>57</v>
      </c>
      <c r="Y27" s="3"/>
      <c r="Z27" s="3"/>
    </row>
    <row r="28" spans="1:26" ht="15">
      <c r="A28" s="24">
        <v>1</v>
      </c>
      <c r="B28" s="15" t="s">
        <v>58</v>
      </c>
      <c r="C28" s="15" t="s">
        <v>0</v>
      </c>
      <c r="D28" s="17">
        <v>36</v>
      </c>
      <c r="E28" s="15" t="s">
        <v>2</v>
      </c>
      <c r="F28" s="15" t="s">
        <v>6</v>
      </c>
      <c r="G28" s="85">
        <f>11.67*0.837*0.249</f>
        <v>2.4321797099999998</v>
      </c>
      <c r="H28" s="85">
        <f>11.67*0.837*0.033</f>
        <v>0.32233707</v>
      </c>
      <c r="I28" s="85">
        <f>SUM(G28:H28)</f>
        <v>2.75451678</v>
      </c>
      <c r="J28" s="85"/>
      <c r="K28" s="85">
        <f>I28</f>
        <v>2.75451678</v>
      </c>
      <c r="L28" s="85" t="s">
        <v>14</v>
      </c>
      <c r="O28" s="24">
        <v>1</v>
      </c>
      <c r="P28" s="15" t="s">
        <v>58</v>
      </c>
      <c r="Q28" s="15" t="s">
        <v>0</v>
      </c>
      <c r="R28" s="18">
        <v>36</v>
      </c>
      <c r="S28" s="15" t="s">
        <v>2</v>
      </c>
      <c r="T28" s="15" t="s">
        <v>6</v>
      </c>
      <c r="U28" s="85">
        <f>11.67*0.837*0.249</f>
        <v>2.4321797099999998</v>
      </c>
      <c r="V28" s="85">
        <f>11.67*0.837*0.033</f>
        <v>0.32233707</v>
      </c>
      <c r="W28" s="85">
        <f>SUM(U28:V28)</f>
        <v>2.75451678</v>
      </c>
      <c r="X28" s="85"/>
      <c r="Y28" s="85">
        <f>W28</f>
        <v>2.75451678</v>
      </c>
      <c r="Z28" s="85" t="s">
        <v>14</v>
      </c>
    </row>
    <row r="29" spans="1:26" ht="15">
      <c r="A29" s="24">
        <v>2</v>
      </c>
      <c r="B29" s="15" t="s">
        <v>59</v>
      </c>
      <c r="C29" s="15" t="s">
        <v>0</v>
      </c>
      <c r="D29" s="17">
        <v>33</v>
      </c>
      <c r="E29" s="15" t="s">
        <v>2</v>
      </c>
      <c r="F29" s="15" t="s">
        <v>6</v>
      </c>
      <c r="G29" s="85">
        <f>10.28*0.892*0.004</f>
        <v>0.03667904</v>
      </c>
      <c r="H29" s="85">
        <f>10.28*0.892*0.102</f>
        <v>0.93531552</v>
      </c>
      <c r="I29" s="85">
        <f>SUM(G29:H29)</f>
        <v>0.97199456</v>
      </c>
      <c r="J29" s="85"/>
      <c r="K29" s="85">
        <f>I29</f>
        <v>0.97199456</v>
      </c>
      <c r="L29" s="85" t="s">
        <v>14</v>
      </c>
      <c r="O29" s="24">
        <v>2</v>
      </c>
      <c r="P29" s="15" t="s">
        <v>59</v>
      </c>
      <c r="Q29" s="15" t="s">
        <v>0</v>
      </c>
      <c r="R29" s="18">
        <v>33</v>
      </c>
      <c r="S29" s="15" t="s">
        <v>2</v>
      </c>
      <c r="T29" s="15" t="s">
        <v>6</v>
      </c>
      <c r="U29" s="85">
        <f>10.28*0.892*0.004</f>
        <v>0.03667904</v>
      </c>
      <c r="V29" s="85">
        <f>10.28*0.892*0.102</f>
        <v>0.93531552</v>
      </c>
      <c r="W29" s="85">
        <f>SUM(U29:V29)</f>
        <v>0.97199456</v>
      </c>
      <c r="X29" s="85"/>
      <c r="Y29" s="85">
        <f>W29</f>
        <v>0.97199456</v>
      </c>
      <c r="Z29" s="85" t="s">
        <v>14</v>
      </c>
    </row>
    <row r="30" spans="1:26" ht="15">
      <c r="A30" s="24">
        <v>3</v>
      </c>
      <c r="B30" s="15" t="s">
        <v>60</v>
      </c>
      <c r="C30" s="15" t="s">
        <v>0</v>
      </c>
      <c r="D30" s="17">
        <v>32</v>
      </c>
      <c r="E30" s="15" t="s">
        <v>2</v>
      </c>
      <c r="F30" s="15" t="s">
        <v>6</v>
      </c>
      <c r="G30" s="85">
        <f>11.38*0.744*0.262</f>
        <v>2.21828064</v>
      </c>
      <c r="H30" s="85">
        <f>11.38*0.744*0.067</f>
        <v>0.56727024</v>
      </c>
      <c r="I30" s="85">
        <f>SUM(G30:H30)</f>
        <v>2.78555088</v>
      </c>
      <c r="J30" s="85"/>
      <c r="K30" s="85">
        <f>I30</f>
        <v>2.78555088</v>
      </c>
      <c r="L30" s="85" t="s">
        <v>14</v>
      </c>
      <c r="O30" s="24">
        <v>3</v>
      </c>
      <c r="P30" s="15" t="s">
        <v>60</v>
      </c>
      <c r="Q30" s="15" t="s">
        <v>0</v>
      </c>
      <c r="R30" s="18">
        <v>32</v>
      </c>
      <c r="S30" s="15" t="s">
        <v>2</v>
      </c>
      <c r="T30" s="15" t="s">
        <v>6</v>
      </c>
      <c r="U30" s="85">
        <f>11.38*0.744*0.262</f>
        <v>2.21828064</v>
      </c>
      <c r="V30" s="85">
        <f>11.38*0.744*0.067</f>
        <v>0.56727024</v>
      </c>
      <c r="W30" s="85">
        <f>SUM(U30:V30)</f>
        <v>2.78555088</v>
      </c>
      <c r="X30" s="85"/>
      <c r="Y30" s="85">
        <f>W30</f>
        <v>2.78555088</v>
      </c>
      <c r="Z30" s="85" t="s">
        <v>14</v>
      </c>
    </row>
    <row r="31" spans="1:26" ht="15">
      <c r="A31" s="24">
        <v>4</v>
      </c>
      <c r="B31" s="15" t="s">
        <v>61</v>
      </c>
      <c r="C31" s="15" t="s">
        <v>1</v>
      </c>
      <c r="D31" s="17">
        <v>36.27</v>
      </c>
      <c r="E31" s="15" t="s">
        <v>3</v>
      </c>
      <c r="F31" s="15" t="s">
        <v>7</v>
      </c>
      <c r="G31" s="85">
        <f>10.14*0.2</f>
        <v>2.028</v>
      </c>
      <c r="H31" s="85">
        <f>10.14*0.052</f>
        <v>0.52728</v>
      </c>
      <c r="I31" s="85">
        <f>SUM(G31:H31)</f>
        <v>2.5552799999999998</v>
      </c>
      <c r="J31" s="85">
        <f>69.3/1000*36.27</f>
        <v>2.5135110000000003</v>
      </c>
      <c r="K31" s="85">
        <f>J31</f>
        <v>2.5135110000000003</v>
      </c>
      <c r="L31" s="85" t="s">
        <v>15</v>
      </c>
      <c r="O31" s="24">
        <v>4</v>
      </c>
      <c r="P31" s="15" t="s">
        <v>61</v>
      </c>
      <c r="Q31" s="15" t="s">
        <v>1</v>
      </c>
      <c r="R31" s="18">
        <v>36.27</v>
      </c>
      <c r="S31" s="15" t="s">
        <v>3</v>
      </c>
      <c r="T31" s="15" t="s">
        <v>7</v>
      </c>
      <c r="U31" s="85">
        <f>10.14*0.2</f>
        <v>2.028</v>
      </c>
      <c r="V31" s="85">
        <f>10.14*0.052</f>
        <v>0.52728</v>
      </c>
      <c r="W31" s="85">
        <f>SUM(U31:V31)</f>
        <v>2.5552799999999998</v>
      </c>
      <c r="X31" s="85">
        <f>69.3/1000*36.27</f>
        <v>2.5135110000000003</v>
      </c>
      <c r="Y31" s="85">
        <f>X31</f>
        <v>2.5135110000000003</v>
      </c>
      <c r="Z31" s="85" t="s">
        <v>15</v>
      </c>
    </row>
    <row r="32" spans="1:26" ht="15">
      <c r="A32" s="24">
        <v>5</v>
      </c>
      <c r="B32" s="15" t="s">
        <v>62</v>
      </c>
      <c r="C32" s="15" t="s">
        <v>0</v>
      </c>
      <c r="D32" s="17">
        <v>24</v>
      </c>
      <c r="E32" s="15" t="s">
        <v>2</v>
      </c>
      <c r="F32" s="15" t="s">
        <v>6</v>
      </c>
      <c r="G32" s="85"/>
      <c r="H32" s="85"/>
      <c r="I32" s="85"/>
      <c r="J32" s="85">
        <f>73.6/1000*24</f>
        <v>1.7664</v>
      </c>
      <c r="K32" s="85">
        <f>J32</f>
        <v>1.7664</v>
      </c>
      <c r="L32" s="85" t="s">
        <v>14</v>
      </c>
      <c r="O32" s="24">
        <v>5</v>
      </c>
      <c r="P32" s="15" t="s">
        <v>62</v>
      </c>
      <c r="Q32" s="15" t="s">
        <v>0</v>
      </c>
      <c r="R32" s="18">
        <v>24</v>
      </c>
      <c r="S32" s="15" t="s">
        <v>2</v>
      </c>
      <c r="T32" s="15" t="s">
        <v>6</v>
      </c>
      <c r="U32" s="85"/>
      <c r="V32" s="85"/>
      <c r="W32" s="85"/>
      <c r="X32" s="85">
        <f>73.6/1000*24</f>
        <v>1.7664</v>
      </c>
      <c r="Y32" s="85">
        <f>X32</f>
        <v>1.7664</v>
      </c>
      <c r="Z32" s="85" t="s">
        <v>14</v>
      </c>
    </row>
    <row r="33" spans="1:26" ht="15">
      <c r="A33" s="24">
        <v>6</v>
      </c>
      <c r="B33" s="15" t="s">
        <v>63</v>
      </c>
      <c r="C33" s="15" t="s">
        <v>0</v>
      </c>
      <c r="D33" s="17">
        <v>20.83</v>
      </c>
      <c r="E33" s="15" t="s">
        <v>2</v>
      </c>
      <c r="F33" s="15" t="s">
        <v>6</v>
      </c>
      <c r="G33" s="85">
        <f>12.78*0.54*0.231</f>
        <v>1.5941772</v>
      </c>
      <c r="H33" s="85">
        <f>12.78*0.54*0.036</f>
        <v>0.2484432</v>
      </c>
      <c r="I33" s="85">
        <f>SUM(G33:H33)</f>
        <v>1.8426204000000002</v>
      </c>
      <c r="J33" s="85">
        <f>74.5/1000*20.83</f>
        <v>1.5518349999999999</v>
      </c>
      <c r="K33" s="85">
        <f>J33</f>
        <v>1.5518349999999999</v>
      </c>
      <c r="L33" s="85" t="s">
        <v>14</v>
      </c>
      <c r="O33" s="24">
        <v>6</v>
      </c>
      <c r="P33" s="15" t="s">
        <v>63</v>
      </c>
      <c r="Q33" s="15" t="s">
        <v>0</v>
      </c>
      <c r="R33" s="18">
        <v>20.83</v>
      </c>
      <c r="S33" s="15" t="s">
        <v>2</v>
      </c>
      <c r="T33" s="15" t="s">
        <v>6</v>
      </c>
      <c r="U33" s="85">
        <f>12.78*0.54*0.231</f>
        <v>1.5941772</v>
      </c>
      <c r="V33" s="85">
        <f>12.78*0.54*0.036</f>
        <v>0.2484432</v>
      </c>
      <c r="W33" s="85">
        <f>SUM(U33:V33)</f>
        <v>1.8426204000000002</v>
      </c>
      <c r="X33" s="85">
        <f>74.5/1000*20.83</f>
        <v>1.5518349999999999</v>
      </c>
      <c r="Y33" s="85">
        <f>X33</f>
        <v>1.5518349999999999</v>
      </c>
      <c r="Z33" s="85" t="s">
        <v>14</v>
      </c>
    </row>
    <row r="34" spans="1:26" ht="15">
      <c r="A34" s="24">
        <v>7</v>
      </c>
      <c r="B34" s="15" t="s">
        <v>64</v>
      </c>
      <c r="C34" s="15" t="s">
        <v>0</v>
      </c>
      <c r="D34" s="17">
        <v>33</v>
      </c>
      <c r="E34" s="15" t="s">
        <v>2</v>
      </c>
      <c r="F34" s="15" t="s">
        <v>6</v>
      </c>
      <c r="G34" s="85">
        <f>7.5*0.778*0.004</f>
        <v>0.02334</v>
      </c>
      <c r="H34" s="85">
        <f>7.5*0.778*0.189</f>
        <v>1.102815</v>
      </c>
      <c r="I34" s="85">
        <f>SUM(G34:H34)</f>
        <v>1.126155</v>
      </c>
      <c r="J34" s="85"/>
      <c r="K34" s="85">
        <f>I34</f>
        <v>1.126155</v>
      </c>
      <c r="L34" s="85" t="s">
        <v>14</v>
      </c>
      <c r="O34" s="24">
        <v>7</v>
      </c>
      <c r="P34" s="15" t="s">
        <v>64</v>
      </c>
      <c r="Q34" s="15" t="s">
        <v>0</v>
      </c>
      <c r="R34" s="18">
        <v>33</v>
      </c>
      <c r="S34" s="15" t="s">
        <v>2</v>
      </c>
      <c r="T34" s="15" t="s">
        <v>6</v>
      </c>
      <c r="U34" s="85">
        <f>7.5*0.778*0.004</f>
        <v>0.02334</v>
      </c>
      <c r="V34" s="85">
        <f>7.5*0.778*0.189</f>
        <v>1.102815</v>
      </c>
      <c r="W34" s="85">
        <f>SUM(U34:V34)</f>
        <v>1.126155</v>
      </c>
      <c r="X34" s="85"/>
      <c r="Y34" s="85">
        <f>W34</f>
        <v>1.126155</v>
      </c>
      <c r="Z34" s="85" t="s">
        <v>14</v>
      </c>
    </row>
    <row r="35" ht="15"/>
    <row r="36" spans="1:15" ht="15">
      <c r="A36" s="26" t="s">
        <v>65</v>
      </c>
      <c r="O36" s="26" t="s">
        <v>65</v>
      </c>
    </row>
    <row r="37" spans="2:16" ht="15">
      <c r="B37" s="1" t="s">
        <v>50</v>
      </c>
      <c r="G37" s="14">
        <f>63.2*0.0249</f>
        <v>1.57368</v>
      </c>
      <c r="P37" s="1" t="s">
        <v>50</v>
      </c>
    </row>
    <row r="38" spans="2:20" ht="15">
      <c r="B38" s="14" t="s">
        <v>66</v>
      </c>
      <c r="C38" s="14" t="s">
        <v>1</v>
      </c>
      <c r="D38" s="16">
        <v>11</v>
      </c>
      <c r="E38" s="14" t="s">
        <v>3</v>
      </c>
      <c r="F38" s="14" t="s">
        <v>7</v>
      </c>
      <c r="P38" s="14" t="s">
        <v>66</v>
      </c>
      <c r="Q38" s="14" t="s">
        <v>1</v>
      </c>
      <c r="R38" s="22">
        <v>11</v>
      </c>
      <c r="S38" s="14" t="s">
        <v>3</v>
      </c>
      <c r="T38" s="14" t="s">
        <v>7</v>
      </c>
    </row>
    <row r="39" ht="15"/>
    <row r="40" ht="15"/>
    <row r="41" spans="1:17" ht="26.25">
      <c r="A41" s="109" t="s">
        <v>45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15">
      <c r="A42" s="59"/>
      <c r="B42" s="60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5.75">
      <c r="A43" s="63"/>
      <c r="B43" s="64" t="s">
        <v>47</v>
      </c>
      <c r="C43" s="65">
        <v>29</v>
      </c>
      <c r="D43" s="66" t="str">
        <f>VLOOKUP(C43,A46:C81,2)</f>
        <v>Hrvatska</v>
      </c>
      <c r="E43" s="62"/>
      <c r="F43" s="62"/>
      <c r="G43" s="62"/>
      <c r="H43" s="62"/>
      <c r="I43" s="62"/>
      <c r="J43" s="62"/>
      <c r="K43" s="62"/>
      <c r="L43" s="62"/>
      <c r="M43" s="62"/>
      <c r="N43" s="67"/>
      <c r="O43" s="67"/>
      <c r="P43" s="67"/>
      <c r="Q43" s="67"/>
    </row>
    <row r="44" spans="1:17" ht="16.5" thickBot="1">
      <c r="A44" s="63"/>
      <c r="B44" s="68"/>
      <c r="C44" s="69">
        <f>VLOOKUP(C43,A46:C81,3)</f>
        <v>0.305</v>
      </c>
      <c r="D44" s="70" t="s">
        <v>10</v>
      </c>
      <c r="E44" s="62"/>
      <c r="F44" s="62"/>
      <c r="G44" s="62"/>
      <c r="H44" s="62"/>
      <c r="I44" s="62"/>
      <c r="J44" s="62"/>
      <c r="K44" s="62"/>
      <c r="L44" s="62"/>
      <c r="M44" s="62"/>
      <c r="N44" s="67"/>
      <c r="O44" s="67"/>
      <c r="P44" s="67"/>
      <c r="Q44" s="67"/>
    </row>
    <row r="45" spans="1:17" ht="15">
      <c r="A45" s="59"/>
      <c r="B45" s="71" t="s">
        <v>48</v>
      </c>
      <c r="C45" s="72" t="s">
        <v>11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5">
      <c r="A46" s="73">
        <v>1</v>
      </c>
      <c r="B46" s="80" t="s">
        <v>69</v>
      </c>
      <c r="C46" s="81">
        <v>0.386073</v>
      </c>
      <c r="D46" s="160" t="s">
        <v>102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62"/>
      <c r="Q46" s="62"/>
    </row>
    <row r="47" spans="1:17" ht="15">
      <c r="A47" s="73">
        <f>A46+1</f>
        <v>2</v>
      </c>
      <c r="B47" s="108" t="s">
        <v>70</v>
      </c>
      <c r="C47" s="81">
        <v>0.253606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62"/>
      <c r="Q47" s="62"/>
    </row>
    <row r="48" spans="1:17" ht="15">
      <c r="A48" s="73">
        <f aca="true" t="shared" si="0" ref="A48:A81">A47+1</f>
        <v>3</v>
      </c>
      <c r="B48" s="108" t="s">
        <v>71</v>
      </c>
      <c r="C48" s="81">
        <v>0.45782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62"/>
      <c r="Q48" s="62"/>
    </row>
    <row r="49" spans="1:17" ht="15">
      <c r="A49" s="73">
        <f t="shared" si="0"/>
        <v>4</v>
      </c>
      <c r="B49" s="108" t="s">
        <v>72</v>
      </c>
      <c r="C49" s="81">
        <v>0.629937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62"/>
      <c r="Q49" s="62"/>
    </row>
    <row r="50" spans="1:17" ht="15">
      <c r="A50" s="73">
        <f t="shared" si="0"/>
        <v>5</v>
      </c>
      <c r="B50" s="108" t="s">
        <v>73</v>
      </c>
      <c r="C50" s="81">
        <v>0.328841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2"/>
      <c r="O50" s="62"/>
      <c r="P50" s="62"/>
      <c r="Q50" s="62"/>
    </row>
    <row r="51" spans="1:17" ht="15">
      <c r="A51" s="73">
        <f t="shared" si="0"/>
        <v>6</v>
      </c>
      <c r="B51" s="108" t="s">
        <v>74</v>
      </c>
      <c r="C51" s="81">
        <v>0.503415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2"/>
      <c r="O51" s="62"/>
      <c r="P51" s="62"/>
      <c r="Q51" s="62"/>
    </row>
    <row r="52" spans="1:17" ht="15">
      <c r="A52" s="73">
        <f t="shared" si="0"/>
        <v>7</v>
      </c>
      <c r="B52" s="108" t="s">
        <v>75</v>
      </c>
      <c r="C52" s="81">
        <v>0.989733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2"/>
      <c r="O52" s="62"/>
      <c r="P52" s="62"/>
      <c r="Q52" s="62"/>
    </row>
    <row r="53" spans="1:17" ht="15">
      <c r="A53" s="73">
        <f t="shared" si="0"/>
        <v>8</v>
      </c>
      <c r="B53" s="108" t="s">
        <v>76</v>
      </c>
      <c r="C53" s="81">
        <v>0.57309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2"/>
      <c r="O53" s="62"/>
      <c r="P53" s="62"/>
      <c r="Q53" s="62"/>
    </row>
    <row r="54" spans="1:17" ht="15">
      <c r="A54" s="73">
        <f t="shared" si="0"/>
        <v>9</v>
      </c>
      <c r="B54" s="108" t="s">
        <v>77</v>
      </c>
      <c r="C54" s="81">
        <v>0.904177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2"/>
      <c r="O54" s="62"/>
      <c r="P54" s="62"/>
      <c r="Q54" s="62"/>
    </row>
    <row r="55" spans="1:17" ht="15">
      <c r="A55" s="73">
        <f t="shared" si="0"/>
        <v>10</v>
      </c>
      <c r="B55" s="108" t="s">
        <v>78</v>
      </c>
      <c r="C55" s="81">
        <v>0.248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2"/>
      <c r="O55" s="62"/>
      <c r="P55" s="62"/>
      <c r="Q55" s="62"/>
    </row>
    <row r="56" spans="1:17" ht="15">
      <c r="A56" s="73">
        <f t="shared" si="0"/>
        <v>11</v>
      </c>
      <c r="B56" s="108" t="s">
        <v>79</v>
      </c>
      <c r="C56" s="81">
        <v>0.92404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2"/>
      <c r="O56" s="62"/>
      <c r="P56" s="62"/>
      <c r="Q56" s="62"/>
    </row>
    <row r="57" spans="1:17" ht="15">
      <c r="A57" s="73">
        <f t="shared" si="0"/>
        <v>12</v>
      </c>
      <c r="B57" s="108" t="s">
        <v>80</v>
      </c>
      <c r="C57" s="81">
        <v>0.404652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2"/>
      <c r="O57" s="62"/>
      <c r="P57" s="62"/>
      <c r="Q57" s="62"/>
    </row>
    <row r="58" spans="1:17" ht="15">
      <c r="A58" s="73">
        <f t="shared" si="0"/>
        <v>13</v>
      </c>
      <c r="B58" s="108" t="s">
        <v>81</v>
      </c>
      <c r="C58" s="81">
        <v>0.673229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2"/>
      <c r="O58" s="62"/>
      <c r="P58" s="62"/>
      <c r="Q58" s="62"/>
    </row>
    <row r="59" spans="1:17" ht="15">
      <c r="A59" s="73">
        <f t="shared" si="0"/>
        <v>14</v>
      </c>
      <c r="B59" s="108" t="s">
        <v>82</v>
      </c>
      <c r="C59" s="81">
        <v>0.150179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75"/>
      <c r="O59" s="75"/>
      <c r="P59" s="75"/>
      <c r="Q59" s="75"/>
    </row>
    <row r="60" spans="1:17" ht="15">
      <c r="A60" s="73">
        <f t="shared" si="0"/>
        <v>15</v>
      </c>
      <c r="B60" s="108" t="s">
        <v>83</v>
      </c>
      <c r="C60" s="81">
        <v>0.167709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2"/>
      <c r="O60" s="62"/>
      <c r="P60" s="62"/>
      <c r="Q60" s="62"/>
    </row>
    <row r="61" spans="1:17" ht="15">
      <c r="A61" s="73">
        <f t="shared" si="0"/>
        <v>16</v>
      </c>
      <c r="B61" s="108" t="s">
        <v>84</v>
      </c>
      <c r="C61" s="81">
        <v>0.333984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2"/>
      <c r="O61" s="62"/>
      <c r="P61" s="62"/>
      <c r="Q61" s="62"/>
    </row>
    <row r="62" spans="1:17" ht="15">
      <c r="A62" s="73">
        <f t="shared" si="0"/>
        <v>17</v>
      </c>
      <c r="B62" s="108" t="s">
        <v>85</v>
      </c>
      <c r="C62" s="81">
        <v>0.357311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2"/>
      <c r="O62" s="62"/>
      <c r="P62" s="62"/>
      <c r="Q62" s="62"/>
    </row>
    <row r="63" spans="1:17" ht="15">
      <c r="A63" s="73">
        <f t="shared" si="0"/>
        <v>18</v>
      </c>
      <c r="B63" s="108" t="s">
        <v>12</v>
      </c>
      <c r="C63" s="81">
        <v>0.905061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2"/>
      <c r="O63" s="62"/>
      <c r="P63" s="62"/>
      <c r="Q63" s="62"/>
    </row>
    <row r="64" spans="1:17" ht="15">
      <c r="A64" s="73">
        <f t="shared" si="0"/>
        <v>19</v>
      </c>
      <c r="B64" s="108" t="s">
        <v>86</v>
      </c>
      <c r="C64" s="104">
        <v>0.526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2"/>
      <c r="O64" s="62"/>
      <c r="P64" s="62"/>
      <c r="Q64" s="62"/>
    </row>
    <row r="65" spans="1:17" ht="15">
      <c r="A65" s="73">
        <f t="shared" si="0"/>
        <v>20</v>
      </c>
      <c r="B65" s="108" t="s">
        <v>87</v>
      </c>
      <c r="C65" s="81">
        <v>0.161165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2"/>
      <c r="O65" s="62"/>
      <c r="P65" s="62"/>
      <c r="Q65" s="62"/>
    </row>
    <row r="66" spans="1:17" ht="15">
      <c r="A66" s="73">
        <f t="shared" si="0"/>
        <v>21</v>
      </c>
      <c r="B66" s="108" t="s">
        <v>88</v>
      </c>
      <c r="C66" s="81">
        <v>0.810418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2"/>
      <c r="O66" s="62"/>
      <c r="P66" s="62"/>
      <c r="Q66" s="62"/>
    </row>
    <row r="67" spans="1:17" ht="15">
      <c r="A67" s="73">
        <f t="shared" si="0"/>
        <v>22</v>
      </c>
      <c r="B67" s="108" t="s">
        <v>13</v>
      </c>
      <c r="C67" s="81">
        <v>0.505736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2"/>
      <c r="O67" s="62"/>
      <c r="P67" s="62"/>
      <c r="Q67" s="62"/>
    </row>
    <row r="68" spans="1:17" ht="15">
      <c r="A68" s="73">
        <f t="shared" si="0"/>
        <v>23</v>
      </c>
      <c r="B68" s="108" t="s">
        <v>89</v>
      </c>
      <c r="C68" s="81">
        <v>0.58414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2"/>
      <c r="O68" s="62"/>
      <c r="P68" s="62"/>
      <c r="Q68" s="62"/>
    </row>
    <row r="69" spans="1:17" ht="15">
      <c r="A69" s="73">
        <f t="shared" si="0"/>
        <v>24</v>
      </c>
      <c r="B69" s="108" t="s">
        <v>90</v>
      </c>
      <c r="C69" s="81">
        <v>0.34461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2"/>
      <c r="O69" s="62"/>
      <c r="P69" s="62"/>
      <c r="Q69" s="62"/>
    </row>
    <row r="70" spans="1:17" ht="15">
      <c r="A70" s="73">
        <f t="shared" si="0"/>
        <v>25</v>
      </c>
      <c r="B70" s="108" t="s">
        <v>91</v>
      </c>
      <c r="C70" s="81">
        <v>0.292495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2"/>
      <c r="O70" s="62"/>
      <c r="P70" s="62"/>
      <c r="Q70" s="62"/>
    </row>
    <row r="71" spans="1:17" ht="15">
      <c r="A71" s="73">
        <f t="shared" si="0"/>
        <v>26</v>
      </c>
      <c r="B71" s="108" t="s">
        <v>92</v>
      </c>
      <c r="C71" s="81">
        <v>0.177793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2"/>
      <c r="O71" s="62"/>
      <c r="P71" s="62"/>
      <c r="Q71" s="62"/>
    </row>
    <row r="72" spans="1:17" ht="15">
      <c r="A72" s="73">
        <f t="shared" si="0"/>
        <v>27</v>
      </c>
      <c r="B72" s="108" t="s">
        <v>93</v>
      </c>
      <c r="C72" s="81">
        <v>0.43604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2"/>
      <c r="O72" s="62"/>
      <c r="P72" s="62"/>
      <c r="Q72" s="62"/>
    </row>
    <row r="73" spans="1:17" ht="15">
      <c r="A73" s="73">
        <f t="shared" si="0"/>
        <v>28</v>
      </c>
      <c r="B73" s="108" t="s">
        <v>94</v>
      </c>
      <c r="C73" s="81">
        <v>0.503415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2"/>
      <c r="O73" s="62"/>
      <c r="P73" s="62"/>
      <c r="Q73" s="62"/>
    </row>
    <row r="74" spans="1:17" ht="15">
      <c r="A74" s="76">
        <f t="shared" si="0"/>
        <v>29</v>
      </c>
      <c r="B74" s="108" t="s">
        <v>95</v>
      </c>
      <c r="C74" s="81">
        <v>0.305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2"/>
      <c r="O74" s="62"/>
      <c r="P74" s="62"/>
      <c r="Q74" s="62"/>
    </row>
    <row r="75" spans="1:17" ht="15">
      <c r="A75" s="76">
        <f t="shared" si="0"/>
        <v>30</v>
      </c>
      <c r="B75" s="82" t="s">
        <v>96</v>
      </c>
      <c r="C75" s="81">
        <v>0.248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2"/>
      <c r="O75" s="62"/>
      <c r="P75" s="62"/>
      <c r="Q75" s="62"/>
    </row>
    <row r="76" spans="1:17" ht="15">
      <c r="A76" s="76">
        <f t="shared" si="0"/>
        <v>31</v>
      </c>
      <c r="B76" s="77" t="s">
        <v>97</v>
      </c>
      <c r="C76" s="7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2"/>
      <c r="O76" s="62"/>
      <c r="P76" s="62"/>
      <c r="Q76" s="62"/>
    </row>
    <row r="77" spans="1:17" ht="15">
      <c r="A77" s="76">
        <f t="shared" si="0"/>
        <v>32</v>
      </c>
      <c r="B77" s="77"/>
      <c r="C77" s="7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2"/>
      <c r="O77" s="62"/>
      <c r="P77" s="62"/>
      <c r="Q77" s="62"/>
    </row>
    <row r="78" spans="1:17" ht="15">
      <c r="A78" s="76">
        <f t="shared" si="0"/>
        <v>33</v>
      </c>
      <c r="B78" s="77" t="s">
        <v>98</v>
      </c>
      <c r="C78" s="7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2"/>
      <c r="O78" s="62"/>
      <c r="P78" s="62"/>
      <c r="Q78" s="62"/>
    </row>
    <row r="79" spans="1:17" ht="15">
      <c r="A79" s="76">
        <f t="shared" si="0"/>
        <v>34</v>
      </c>
      <c r="B79" s="77" t="s">
        <v>99</v>
      </c>
      <c r="C79" s="7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2"/>
      <c r="O79" s="62"/>
      <c r="P79" s="62"/>
      <c r="Q79" s="62"/>
    </row>
    <row r="80" spans="1:17" ht="15">
      <c r="A80" s="76">
        <f t="shared" si="0"/>
        <v>35</v>
      </c>
      <c r="B80" s="77" t="s">
        <v>100</v>
      </c>
      <c r="C80" s="7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2"/>
      <c r="O80" s="62"/>
      <c r="P80" s="62"/>
      <c r="Q80" s="62"/>
    </row>
    <row r="81" spans="1:17" ht="15.75" thickBot="1">
      <c r="A81" s="76">
        <f t="shared" si="0"/>
        <v>36</v>
      </c>
      <c r="B81" s="78" t="s">
        <v>101</v>
      </c>
      <c r="C81" s="79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2"/>
      <c r="O81" s="62"/>
      <c r="P81" s="62"/>
      <c r="Q81" s="62"/>
    </row>
    <row r="84" spans="1:21" s="5" customFormat="1" ht="17.25" customHeight="1">
      <c r="A84" s="7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s="5" customFormat="1" ht="6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s="5" customFormat="1" ht="17.25" customHeight="1">
      <c r="A86" s="157" t="s">
        <v>104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7"/>
      <c r="N86" s="7"/>
      <c r="O86" s="7"/>
      <c r="P86" s="7"/>
      <c r="Q86" s="7"/>
      <c r="R86" s="7"/>
      <c r="S86" s="7"/>
      <c r="T86" s="7"/>
      <c r="U86" s="7"/>
    </row>
    <row r="87" spans="1:21" s="5" customFormat="1" ht="17.25" customHeight="1">
      <c r="A87" s="157" t="s">
        <v>105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7"/>
      <c r="N87" s="7"/>
      <c r="O87" s="7"/>
      <c r="P87" s="7"/>
      <c r="Q87" s="7"/>
      <c r="R87" s="7"/>
      <c r="S87" s="7"/>
      <c r="T87" s="7"/>
      <c r="U87" s="7"/>
    </row>
    <row r="88" spans="1:21" s="5" customFormat="1" ht="17.25" customHeight="1">
      <c r="A88" s="156" t="s">
        <v>106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7"/>
      <c r="N88" s="7"/>
      <c r="O88" s="7"/>
      <c r="P88" s="7"/>
      <c r="Q88" s="7"/>
      <c r="R88" s="7"/>
      <c r="S88" s="7"/>
      <c r="T88" s="7"/>
      <c r="U88" s="7"/>
    </row>
    <row r="89" spans="1:12" ht="1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</row>
  </sheetData>
  <sheetProtection/>
  <mergeCells count="13">
    <mergeCell ref="U26:Z26"/>
    <mergeCell ref="V13:AA13"/>
    <mergeCell ref="V3:AA3"/>
    <mergeCell ref="A88:L89"/>
    <mergeCell ref="A87:L87"/>
    <mergeCell ref="A86:L86"/>
    <mergeCell ref="A2:U2"/>
    <mergeCell ref="A1:AC1"/>
    <mergeCell ref="A41:Q41"/>
    <mergeCell ref="D46:O49"/>
    <mergeCell ref="H3:M3"/>
    <mergeCell ref="H13:M13"/>
    <mergeCell ref="G26:L2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</dc:creator>
  <cp:keywords/>
  <dc:description/>
  <cp:lastModifiedBy>Maja</cp:lastModifiedBy>
  <cp:lastPrinted>2013-08-19T17:22:04Z</cp:lastPrinted>
  <dcterms:created xsi:type="dcterms:W3CDTF">2013-08-18T15:20:27Z</dcterms:created>
  <dcterms:modified xsi:type="dcterms:W3CDTF">2020-08-10T08:22:48Z</dcterms:modified>
  <cp:category/>
  <cp:version/>
  <cp:contentType/>
  <cp:contentStatus/>
</cp:coreProperties>
</file>